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Users\OTA34\デスクトップ\R5事業\03HP資料改正\"/>
    </mc:Choice>
  </mc:AlternateContent>
  <xr:revisionPtr revIDLastSave="0" documentId="13_ncr:1_{0808704F-CC83-4453-9370-191118174172}" xr6:coauthVersionLast="47" xr6:coauthVersionMax="47" xr10:uidLastSave="{00000000-0000-0000-0000-000000000000}"/>
  <bookViews>
    <workbookView xWindow="9990" yWindow="1935" windowWidth="16410" windowHeight="12810" firstSheet="6" activeTab="10" xr2:uid="{00000000-000D-0000-FFFF-FFFF00000000}"/>
  </bookViews>
  <sheets>
    <sheet name="ReadMe" sheetId="20" r:id="rId1"/>
    <sheet name="企画調整Ｇ" sheetId="5" r:id="rId2"/>
    <sheet name="組織体制" sheetId="9" r:id="rId3"/>
    <sheet name="情報収集Ｇ" sheetId="7" r:id="rId4"/>
    <sheet name="連絡先" sheetId="6" r:id="rId5"/>
    <sheet name="環境省報告ﾌｫｰﾏｯﾄ" sheetId="4" r:id="rId6"/>
    <sheet name="クロノロ" sheetId="18" r:id="rId7"/>
    <sheet name="生活系ごみG" sheetId="8" r:id="rId8"/>
    <sheet name="し尿避難所ごみ" sheetId="10" r:id="rId9"/>
    <sheet name="災害廃棄物G" sheetId="11" r:id="rId10"/>
    <sheet name="発生量処理能力" sheetId="13" r:id="rId11"/>
    <sheet name="契約G" sheetId="15" r:id="rId12"/>
    <sheet name="仮置場Ｇ" sheetId="16" r:id="rId13"/>
    <sheet name="仮置場" sheetId="14" r:id="rId14"/>
    <sheet name="（解体G）" sheetId="19" r:id="rId15"/>
  </sheets>
  <definedNames>
    <definedName name="_xlnm.Print_Area" localSheetId="5">環境省報告ﾌｫｰﾏｯﾄ!$A$1:$N$32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3" i="13" l="1"/>
  <c r="D83" i="13" s="1"/>
  <c r="C82" i="13"/>
  <c r="D82" i="13" s="1"/>
  <c r="C81" i="13"/>
  <c r="D81" i="13" s="1"/>
  <c r="C80" i="13"/>
  <c r="D80" i="13" s="1"/>
  <c r="H108" i="13"/>
  <c r="F108" i="13"/>
  <c r="E90" i="13" l="1"/>
  <c r="C109" i="13" s="1"/>
  <c r="E89" i="13"/>
  <c r="C108" i="13" s="1"/>
  <c r="F121" i="13" l="1"/>
  <c r="F120" i="13"/>
  <c r="F118" i="13"/>
  <c r="F119" i="13"/>
  <c r="D160" i="13"/>
  <c r="D161" i="13" s="1"/>
  <c r="G161" i="13" s="1"/>
  <c r="G162" i="13" s="1"/>
  <c r="F164" i="13" l="1"/>
  <c r="D48" i="13" s="1"/>
  <c r="G163" i="13"/>
  <c r="C21" i="14" l="1"/>
  <c r="D21" i="14"/>
  <c r="B157" i="13"/>
  <c r="B40" i="13" s="1"/>
  <c r="B30" i="14" s="1"/>
  <c r="D30" i="14" s="1"/>
  <c r="E137" i="13"/>
  <c r="D147" i="13" s="1"/>
  <c r="C157" i="13" s="1"/>
  <c r="D40" i="13" s="1"/>
  <c r="D53" i="13" s="1"/>
  <c r="C121" i="13"/>
  <c r="D121" i="13" s="1"/>
  <c r="C120" i="13"/>
  <c r="D120" i="13" s="1"/>
  <c r="C119" i="13"/>
  <c r="C118" i="13"/>
  <c r="D118" i="13" s="1"/>
  <c r="C115" i="13"/>
  <c r="D115" i="13" s="1"/>
  <c r="C114" i="13"/>
  <c r="D114" i="13" s="1"/>
  <c r="C113" i="13"/>
  <c r="D113" i="13" s="1"/>
  <c r="C112" i="13"/>
  <c r="D112" i="13" s="1"/>
  <c r="H107" i="13"/>
  <c r="F107" i="13"/>
  <c r="C107" i="13"/>
  <c r="C77" i="13"/>
  <c r="D77" i="13" s="1"/>
  <c r="C76" i="13"/>
  <c r="D76" i="13" s="1"/>
  <c r="C75" i="13"/>
  <c r="D75" i="13" s="1"/>
  <c r="C74" i="13"/>
  <c r="D74" i="13" s="1"/>
  <c r="C83" i="10"/>
  <c r="C76" i="10"/>
  <c r="C73" i="10"/>
  <c r="C68" i="10"/>
  <c r="C67" i="10"/>
  <c r="C59" i="10"/>
  <c r="C52" i="10"/>
  <c r="C50" i="10"/>
  <c r="C49" i="10"/>
  <c r="C51" i="10" s="1"/>
  <c r="D119" i="13" l="1"/>
  <c r="C60" i="10"/>
  <c r="C78" i="10"/>
  <c r="C35" i="10" s="1"/>
  <c r="D35" i="10" s="1"/>
  <c r="C77" i="10"/>
  <c r="C79" i="10" s="1"/>
  <c r="C30" i="14"/>
  <c r="E30" i="14" s="1"/>
  <c r="F30" i="14" s="1"/>
  <c r="G30" i="14" s="1"/>
  <c r="D86" i="13"/>
  <c r="C124" i="13"/>
  <c r="C53" i="10"/>
  <c r="G127" i="13" l="1"/>
  <c r="F127" i="13"/>
  <c r="E127" i="13"/>
  <c r="D127" i="13"/>
  <c r="C127" i="13"/>
  <c r="C64" i="10"/>
  <c r="C33" i="10" s="1"/>
  <c r="D33" i="10" s="1"/>
  <c r="C33" i="14"/>
  <c r="F33" i="14" s="1"/>
  <c r="D42" i="13"/>
  <c r="C54" i="10"/>
  <c r="E172" i="13"/>
  <c r="E171" i="13"/>
  <c r="E170" i="13"/>
  <c r="E169" i="13"/>
  <c r="G33" i="14" l="1"/>
  <c r="C10" i="14" s="1"/>
  <c r="C9" i="14"/>
  <c r="C56" i="10"/>
  <c r="C32" i="10" s="1"/>
  <c r="C63" i="10"/>
  <c r="F147" i="13"/>
  <c r="F145" i="13"/>
  <c r="F146" i="13"/>
  <c r="F141" i="13"/>
  <c r="F144" i="13"/>
  <c r="F142" i="13"/>
  <c r="F143" i="13"/>
  <c r="E146" i="13"/>
  <c r="E144" i="13"/>
  <c r="E145" i="13"/>
  <c r="E143" i="13"/>
  <c r="E141" i="13"/>
  <c r="E147" i="13"/>
  <c r="E142" i="13"/>
  <c r="C146" i="13"/>
  <c r="C145" i="13"/>
  <c r="C143" i="13"/>
  <c r="C142" i="13"/>
  <c r="C141" i="13"/>
  <c r="C144" i="13"/>
  <c r="D145" i="13"/>
  <c r="C155" i="13" s="1"/>
  <c r="D146" i="13"/>
  <c r="C156" i="13" s="1"/>
  <c r="D142" i="13"/>
  <c r="C152" i="13" s="1"/>
  <c r="D143" i="13"/>
  <c r="C153" i="13" s="1"/>
  <c r="D144" i="13"/>
  <c r="C154" i="13" s="1"/>
  <c r="D141" i="13"/>
  <c r="C55" i="10"/>
  <c r="E173" i="13"/>
  <c r="E175" i="13" l="1"/>
  <c r="C148" i="13"/>
  <c r="F148" i="13"/>
  <c r="E148" i="13"/>
  <c r="C151" i="13"/>
  <c r="D148" i="13"/>
  <c r="E174" i="13"/>
  <c r="F178" i="13" s="1"/>
  <c r="F179" i="13" l="1"/>
  <c r="E181" i="13" s="1"/>
  <c r="D58" i="13" s="1"/>
  <c r="F180" i="13"/>
  <c r="C82" i="10"/>
  <c r="C84" i="10" l="1"/>
  <c r="C69" i="10"/>
  <c r="C70" i="10" s="1"/>
  <c r="D162" i="13" l="1"/>
  <c r="D163" i="13" s="1"/>
  <c r="D164" i="13" s="1"/>
  <c r="C85" i="10"/>
  <c r="C36" i="10" s="1"/>
  <c r="D36" i="10" s="1"/>
  <c r="D32" i="10"/>
  <c r="C34" i="10" l="1"/>
  <c r="D34" i="10" s="1"/>
  <c r="Q25" i="4" l="1"/>
  <c r="H39" i="4" l="1"/>
  <c r="Q26" i="4"/>
  <c r="Q27" i="4"/>
  <c r="Q28" i="4"/>
  <c r="Q29" i="4"/>
  <c r="D36" i="13" l="1"/>
  <c r="C27" i="14" s="1"/>
  <c r="D33" i="13" l="1"/>
  <c r="C24" i="14" s="1"/>
  <c r="D35" i="13"/>
  <c r="C26" i="14" s="1"/>
  <c r="D38" i="13"/>
  <c r="C29" i="14" s="1"/>
  <c r="D37" i="13"/>
  <c r="C28" i="14" s="1"/>
  <c r="E26" i="14" l="1"/>
  <c r="F26" i="14" s="1"/>
  <c r="G26" i="14" s="1"/>
  <c r="D34" i="13"/>
  <c r="D39" i="13" l="1"/>
  <c r="D52" i="13" s="1"/>
  <c r="C25" i="14"/>
  <c r="D49" i="13"/>
  <c r="E49" i="13" s="1"/>
  <c r="D44" i="13"/>
  <c r="D45" i="13" s="1"/>
  <c r="D59" i="13" s="1"/>
  <c r="E59" i="13" s="1"/>
  <c r="E24" i="14" l="1"/>
  <c r="E28" i="14"/>
  <c r="C31" i="14"/>
  <c r="E31" i="14" l="1"/>
  <c r="F24" i="14"/>
  <c r="F31" i="14" l="1"/>
  <c r="C6" i="14" s="1"/>
  <c r="G24" i="14"/>
  <c r="G31" i="14" s="1"/>
  <c r="C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tc={918D2FB0-6768-429B-8593-B2F0965B3F72}</author>
    <author>tc={75F05802-B666-4A43-B228-F4AF85D02DA6}</author>
    <author>tc={E015A55E-A871-46E3-83D0-1A55C5249316}</author>
  </authors>
  <commentList>
    <comment ref="C10" authorId="0" shapeId="0" xr:uid="{918D2FB0-6768-429B-8593-B2F0965B3F7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処理能力は、実態調査や公表資料でも適宜把握可能であり、発災直後に必須の情報ではないのではないか？との観点で、規模の欄を削除</t>
      </text>
    </comment>
    <comment ref="F37" authorId="1" shapeId="0" xr:uid="{75F05802-B666-4A43-B228-F4AF85D02DA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「最大容量」や「現保管量」について算出するところで負担になるという複数事務所ご指摘と、必要なのは「ひっ迫状況」であることを踏まえ修正</t>
      </text>
    </comment>
    <comment ref="G38" authorId="2" shapeId="0" xr:uid="{E015A55E-A871-46E3-83D0-1A55C52493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詳細な分別ごとの情報まで把握することは負担が大きいとの事務所ご指摘と、令和２年豪雨の際に聞いていた内容を踏まえ、腐敗物に限って尋ねる形に変更</t>
      </text>
    </comment>
  </commentList>
</comments>
</file>

<file path=xl/sharedStrings.xml><?xml version="1.0" encoding="utf-8"?>
<sst xmlns="http://schemas.openxmlformats.org/spreadsheetml/2006/main" count="1251" uniqueCount="860">
  <si>
    <t>被害をもたらした災害等（災害等の名称、日付）：台風○号（令和○年○月○日）</t>
    <phoneticPr fontId="2"/>
  </si>
  <si>
    <t>市町村名</t>
    <rPh sb="0" eb="4">
      <t>シチョウソンメイ</t>
    </rPh>
    <phoneticPr fontId="2"/>
  </si>
  <si>
    <t>被害状況</t>
    <rPh sb="0" eb="4">
      <t>ヒガイジョウキョウ</t>
    </rPh>
    <phoneticPr fontId="2"/>
  </si>
  <si>
    <t>稼働状況</t>
    <rPh sb="0" eb="4">
      <t>カドウジョウキョウ</t>
    </rPh>
    <phoneticPr fontId="2"/>
  </si>
  <si>
    <t>施設名</t>
    <rPh sb="0" eb="3">
      <t>シセツメイ</t>
    </rPh>
    <phoneticPr fontId="2"/>
  </si>
  <si>
    <t>施設種別</t>
    <rPh sb="0" eb="2">
      <t>シセツ</t>
    </rPh>
    <rPh sb="2" eb="4">
      <t>シュベツ</t>
    </rPh>
    <phoneticPr fontId="2"/>
  </si>
  <si>
    <t>被害及び復旧の状況等</t>
    <rPh sb="0" eb="3">
      <t>ヒガイオヨ</t>
    </rPh>
    <rPh sb="4" eb="6">
      <t>フッキュウ</t>
    </rPh>
    <rPh sb="7" eb="10">
      <t>ジョウキョウトウ</t>
    </rPh>
    <phoneticPr fontId="2"/>
  </si>
  <si>
    <t>復旧見込額</t>
    <rPh sb="0" eb="2">
      <t>フッキュウ</t>
    </rPh>
    <rPh sb="2" eb="4">
      <t>ミコ</t>
    </rPh>
    <rPh sb="4" eb="5">
      <t>ガク</t>
    </rPh>
    <phoneticPr fontId="2"/>
  </si>
  <si>
    <t>別紙様式（都道府県取りまとめ用）（記載例）</t>
    <rPh sb="0" eb="2">
      <t>ベッシ</t>
    </rPh>
    <rPh sb="2" eb="4">
      <t>ヨウシキ</t>
    </rPh>
    <rPh sb="5" eb="9">
      <t>トドウフケン</t>
    </rPh>
    <rPh sb="9" eb="10">
      <t>ト</t>
    </rPh>
    <rPh sb="14" eb="15">
      <t>ヨウ</t>
    </rPh>
    <rPh sb="17" eb="19">
      <t>キサイ</t>
    </rPh>
    <phoneticPr fontId="2"/>
  </si>
  <si>
    <t>１．廃棄物処理施設・浄化槽（市町村設置型）の被害状況</t>
    <phoneticPr fontId="2"/>
  </si>
  <si>
    <t>稼働停止日</t>
    <rPh sb="0" eb="4">
      <t>カドウテイシ</t>
    </rPh>
    <rPh sb="4" eb="5">
      <t>ヒ</t>
    </rPh>
    <phoneticPr fontId="2"/>
  </si>
  <si>
    <t>稼働再開日</t>
    <rPh sb="0" eb="4">
      <t>カドウサイカイ</t>
    </rPh>
    <rPh sb="4" eb="5">
      <t>ヒ</t>
    </rPh>
    <phoneticPr fontId="2"/>
  </si>
  <si>
    <t>（千円）</t>
    <rPh sb="1" eb="3">
      <t>センエン</t>
    </rPh>
    <phoneticPr fontId="2"/>
  </si>
  <si>
    <t>２．その他、被災情報</t>
    <rPh sb="4" eb="5">
      <t>タ</t>
    </rPh>
    <rPh sb="6" eb="8">
      <t>ヒサイ</t>
    </rPh>
    <rPh sb="8" eb="10">
      <t>ジョウホウ</t>
    </rPh>
    <phoneticPr fontId="2"/>
  </si>
  <si>
    <t>被災情報全般</t>
    <rPh sb="0" eb="4">
      <t>ヒサイジョウホウ</t>
    </rPh>
    <rPh sb="4" eb="6">
      <t>ゼンパン</t>
    </rPh>
    <phoneticPr fontId="2"/>
  </si>
  <si>
    <t>全壊</t>
    <rPh sb="0" eb="2">
      <t>ゼンカイ</t>
    </rPh>
    <phoneticPr fontId="2"/>
  </si>
  <si>
    <t>（棟）</t>
  </si>
  <si>
    <t>（棟）</t>
    <rPh sb="1" eb="2">
      <t>トウ</t>
    </rPh>
    <phoneticPr fontId="2"/>
  </si>
  <si>
    <t>半壊</t>
  </si>
  <si>
    <t>一部破損</t>
  </si>
  <si>
    <t>床上浸水</t>
  </si>
  <si>
    <t>床下浸水</t>
  </si>
  <si>
    <t>○○市</t>
    <rPh sb="2" eb="3">
      <t>シ</t>
    </rPh>
    <phoneticPr fontId="2"/>
  </si>
  <si>
    <t>被害あり</t>
  </si>
  <si>
    <t>確認中</t>
  </si>
  <si>
    <t>焼却施設</t>
  </si>
  <si>
    <t>粗大ごみ処理施設</t>
  </si>
  <si>
    <t>し尿処理施設</t>
  </si>
  <si>
    <t>クリーンセンター○○</t>
    <phoneticPr fontId="2"/>
  </si>
  <si>
    <t>浄化槽（市町村設置型）</t>
    <phoneticPr fontId="2"/>
  </si>
  <si>
    <t>〇〇リサイクルセンター</t>
    <phoneticPr fontId="2"/>
  </si>
  <si>
    <t>〇〇汚泥再生処理センター</t>
    <phoneticPr fontId="2"/>
  </si>
  <si>
    <t>20xx/6/8</t>
    <phoneticPr fontId="2"/>
  </si>
  <si>
    <t>20xx/6/10</t>
    <phoneticPr fontId="2"/>
  </si>
  <si>
    <t>煙突の損壊（○月○日頃補修見込み）</t>
    <phoneticPr fontId="2"/>
  </si>
  <si>
    <t>本体及び排水管の破損、修繕済み</t>
    <rPh sb="11" eb="14">
      <t>シュウゼンズ</t>
    </rPh>
    <phoneticPr fontId="2"/>
  </si>
  <si>
    <t>風害による家屋被害多数</t>
    <rPh sb="0" eb="2">
      <t>フウガイ</t>
    </rPh>
    <rPh sb="5" eb="9">
      <t>カオクヒガイ</t>
    </rPh>
    <rPh sb="9" eb="11">
      <t>タスウ</t>
    </rPh>
    <phoneticPr fontId="2"/>
  </si>
  <si>
    <t>水害による災害廃棄物多数</t>
    <rPh sb="0" eb="2">
      <t>スイガイ</t>
    </rPh>
    <rPh sb="5" eb="10">
      <t>サイガイハイキブツ</t>
    </rPh>
    <rPh sb="10" eb="12">
      <t>タスウ</t>
    </rPh>
    <phoneticPr fontId="2"/>
  </si>
  <si>
    <t>避難所設置４か所、その他情報なし</t>
    <rPh sb="0" eb="5">
      <t>ヒナンジョセッチ</t>
    </rPh>
    <rPh sb="7" eb="8">
      <t>ショ</t>
    </rPh>
    <rPh sb="11" eb="12">
      <t>タ</t>
    </rPh>
    <rPh sb="12" eb="14">
      <t>ジョウホウ</t>
    </rPh>
    <phoneticPr fontId="2"/>
  </si>
  <si>
    <t>３．仮置場の状況</t>
    <rPh sb="2" eb="5">
      <t>カリオキバ</t>
    </rPh>
    <rPh sb="6" eb="8">
      <t>ジョウキョウ</t>
    </rPh>
    <phoneticPr fontId="2"/>
  </si>
  <si>
    <t>４．その他、課題等</t>
    <rPh sb="4" eb="5">
      <t>タ</t>
    </rPh>
    <rPh sb="6" eb="9">
      <t>カダイトウ</t>
    </rPh>
    <phoneticPr fontId="2"/>
  </si>
  <si>
    <t>仮置場所在地及び名称</t>
    <rPh sb="0" eb="3">
      <t>カリオキバ</t>
    </rPh>
    <rPh sb="3" eb="6">
      <t>ショザイチ</t>
    </rPh>
    <rPh sb="6" eb="7">
      <t>オヨ</t>
    </rPh>
    <rPh sb="8" eb="10">
      <t>メイショウ</t>
    </rPh>
    <phoneticPr fontId="2"/>
  </si>
  <si>
    <t>受入期間</t>
    <rPh sb="0" eb="2">
      <t>ウケイレ</t>
    </rPh>
    <rPh sb="2" eb="4">
      <t>キカン</t>
    </rPh>
    <phoneticPr fontId="2"/>
  </si>
  <si>
    <t>○○市○○町１－２　○○運動公園</t>
    <rPh sb="2" eb="3">
      <t>シ</t>
    </rPh>
    <rPh sb="5" eb="6">
      <t>チョウ</t>
    </rPh>
    <rPh sb="12" eb="16">
      <t>ウンドウコウエン</t>
    </rPh>
    <phoneticPr fontId="2"/>
  </si>
  <si>
    <t>保管面積</t>
    <rPh sb="0" eb="2">
      <t>ホカン</t>
    </rPh>
    <rPh sb="2" eb="4">
      <t>メンセキ</t>
    </rPh>
    <phoneticPr fontId="2"/>
  </si>
  <si>
    <t>（㎡）</t>
    <phoneticPr fontId="2"/>
  </si>
  <si>
    <t>課題の内容（なるべく具体的に）</t>
    <rPh sb="0" eb="2">
      <t>カダイ</t>
    </rPh>
    <rPh sb="3" eb="5">
      <t>ナイヨウ</t>
    </rPh>
    <rPh sb="10" eb="13">
      <t>グタイテキ</t>
    </rPh>
    <phoneticPr fontId="2"/>
  </si>
  <si>
    <t>受入開始日</t>
    <rPh sb="0" eb="5">
      <t>ウケイレカイシビ</t>
    </rPh>
    <phoneticPr fontId="2"/>
  </si>
  <si>
    <t>受入終了日</t>
    <rPh sb="0" eb="5">
      <t>ウケイレシュウリョウビ</t>
    </rPh>
    <phoneticPr fontId="2"/>
  </si>
  <si>
    <t>仮置場</t>
  </si>
  <si>
    <t>人員不足</t>
  </si>
  <si>
    <t>車両不足</t>
  </si>
  <si>
    <t>処理先確保</t>
  </si>
  <si>
    <t>http://～～～</t>
    <phoneticPr fontId="2"/>
  </si>
  <si>
    <t>仮置場での分別がうまくできておらず、搬出に時間を要している</t>
    <rPh sb="0" eb="3">
      <t>カリオキバ</t>
    </rPh>
    <rPh sb="5" eb="7">
      <t>ブンベツ</t>
    </rPh>
    <rPh sb="18" eb="20">
      <t>ハンシュツ</t>
    </rPh>
    <rPh sb="21" eb="23">
      <t>ジカン</t>
    </rPh>
    <rPh sb="24" eb="25">
      <t>ヨウ</t>
    </rPh>
    <phoneticPr fontId="2"/>
  </si>
  <si>
    <t>対処方針・必要な支援等（想定できていなければ空欄で可）</t>
    <rPh sb="0" eb="4">
      <t>タイショホウシン</t>
    </rPh>
    <rPh sb="5" eb="7">
      <t>ヒツヨウ</t>
    </rPh>
    <rPh sb="8" eb="10">
      <t>シエン</t>
    </rPh>
    <rPh sb="10" eb="11">
      <t>トウ</t>
    </rPh>
    <rPh sb="12" eb="14">
      <t>ソウテイ</t>
    </rPh>
    <rPh sb="22" eb="24">
      <t>クウラン</t>
    </rPh>
    <rPh sb="25" eb="26">
      <t>カ</t>
    </rPh>
    <phoneticPr fontId="2"/>
  </si>
  <si>
    <t>廃石膏ボードの処理先が見当たらず、仮置場で滞留している</t>
    <rPh sb="0" eb="3">
      <t>ハイセッコウ</t>
    </rPh>
    <rPh sb="7" eb="10">
      <t>ショリサキ</t>
    </rPh>
    <rPh sb="11" eb="13">
      <t>ミア</t>
    </rPh>
    <rPh sb="17" eb="20">
      <t>カリオキバ</t>
    </rPh>
    <rPh sb="21" eb="23">
      <t>タイリュウ</t>
    </rPh>
    <phoneticPr fontId="2"/>
  </si>
  <si>
    <t>通常の収集運搬（不燃ごみ）のための車両とドライバーが足りない</t>
    <rPh sb="0" eb="2">
      <t>ツウジョウ</t>
    </rPh>
    <rPh sb="3" eb="7">
      <t>シュウシュウウンパン</t>
    </rPh>
    <rPh sb="8" eb="10">
      <t>フネン</t>
    </rPh>
    <rPh sb="17" eb="19">
      <t>シャリョウ</t>
    </rPh>
    <rPh sb="26" eb="27">
      <t>タ</t>
    </rPh>
    <phoneticPr fontId="2"/>
  </si>
  <si>
    <t>被害状況の把握、処理体制の検討のための事務系人員が足りない</t>
    <rPh sb="0" eb="4">
      <t>ヒガイジョウキョウ</t>
    </rPh>
    <rPh sb="5" eb="7">
      <t>ハアク</t>
    </rPh>
    <rPh sb="8" eb="12">
      <t>ショリタイセイ</t>
    </rPh>
    <rPh sb="13" eb="15">
      <t>ケントウ</t>
    </rPh>
    <rPh sb="19" eb="22">
      <t>ジムケイ</t>
    </rPh>
    <rPh sb="22" eb="24">
      <t>ジンイン</t>
    </rPh>
    <rPh sb="25" eb="26">
      <t>タ</t>
    </rPh>
    <phoneticPr fontId="2"/>
  </si>
  <si>
    <t>仮置場が確保できておらず、市で管理できていない集積所が発生している</t>
    <rPh sb="0" eb="3">
      <t>カリオキバ</t>
    </rPh>
    <rPh sb="4" eb="6">
      <t>カクホ</t>
    </rPh>
    <rPh sb="13" eb="14">
      <t>シ</t>
    </rPh>
    <rPh sb="15" eb="17">
      <t>カンリ</t>
    </rPh>
    <rPh sb="23" eb="26">
      <t>シュウセキジョ</t>
    </rPh>
    <rPh sb="27" eb="29">
      <t>ハッセイ</t>
    </rPh>
    <phoneticPr fontId="2"/>
  </si>
  <si>
    <t>思いつかないが、参考情報があれば聞きたい</t>
    <phoneticPr fontId="2"/>
  </si>
  <si>
    <t>県内の他市町からの応援について調整中。</t>
    <phoneticPr fontId="2"/>
  </si>
  <si>
    <t>県内調整</t>
  </si>
  <si>
    <t>全国調整</t>
  </si>
  <si>
    <t>その他</t>
  </si>
  <si>
    <t>市町村内調整</t>
  </si>
  <si>
    <t>仮置場確保のため○○部局と調整中</t>
    <rPh sb="0" eb="3">
      <t>カリオキバ</t>
    </rPh>
    <rPh sb="3" eb="5">
      <t>カクホ</t>
    </rPh>
    <rPh sb="10" eb="12">
      <t>ブキョク</t>
    </rPh>
    <rPh sb="13" eb="16">
      <t>チョウセイチュウ</t>
    </rPh>
    <phoneticPr fontId="2"/>
  </si>
  <si>
    <t>環境省と電話で相談したい（午前中又は夕方希望）</t>
    <rPh sb="0" eb="3">
      <t>カンキョウショウ</t>
    </rPh>
    <rPh sb="4" eb="6">
      <t>デンワ</t>
    </rPh>
    <rPh sb="7" eb="9">
      <t>ソウダン</t>
    </rPh>
    <rPh sb="13" eb="16">
      <t>ゴゼンチュウ</t>
    </rPh>
    <rPh sb="16" eb="17">
      <t>マタ</t>
    </rPh>
    <rPh sb="18" eb="22">
      <t>ユウガタキボウ</t>
    </rPh>
    <phoneticPr fontId="2"/>
  </si>
  <si>
    <t>ブロック内調整</t>
  </si>
  <si>
    <t>県内では処理先確保困難、ブロック単位での調整希望</t>
    <rPh sb="4" eb="9">
      <t>ショリサキカクホ</t>
    </rPh>
    <rPh sb="9" eb="11">
      <t>コンナン</t>
    </rPh>
    <rPh sb="16" eb="18">
      <t>タンイ</t>
    </rPh>
    <rPh sb="20" eb="24">
      <t>チョウセイキボウ</t>
    </rPh>
    <phoneticPr fontId="2"/>
  </si>
  <si>
    <t>※把握できる範囲で、なるべく具体的に記載すること。</t>
  </si>
  <si>
    <t>※仮置場が複数ある場合、同一市町村であっても複数行に記載すること。</t>
  </si>
  <si>
    <t>※ひっ迫状況等について、課題が生じている場合、具体的な内容は次項「４．その他、課題等」欄に記載すること。</t>
  </si>
  <si>
    <t>※記載すべき施設が複数ある場合、同一市町村であっても複数行に記載すること。</t>
  </si>
  <si>
    <t>（有／確認中）</t>
    <rPh sb="1" eb="2">
      <t>ア</t>
    </rPh>
    <rPh sb="3" eb="6">
      <t>カクニンチュウ</t>
    </rPh>
    <phoneticPr fontId="2"/>
  </si>
  <si>
    <t>（「被害あり」又は「確認中」の場合記載）</t>
    <phoneticPr fontId="2"/>
  </si>
  <si>
    <t>（被災情報がある場合記載）</t>
    <rPh sb="1" eb="3">
      <t>ヒサイ</t>
    </rPh>
    <rPh sb="3" eb="5">
      <t>ジョウホウ</t>
    </rPh>
    <rPh sb="8" eb="10">
      <t>バアイ</t>
    </rPh>
    <rPh sb="10" eb="12">
      <t>キサイ</t>
    </rPh>
    <phoneticPr fontId="2"/>
  </si>
  <si>
    <t>※建物被害に関する欄は、消防庁や災害対策本部等に報告している最新の内容を記載すること。</t>
    <rPh sb="6" eb="7">
      <t>カン</t>
    </rPh>
    <phoneticPr fontId="2"/>
  </si>
  <si>
    <t>合計（%）</t>
    <rPh sb="0" eb="2">
      <t>ゴウケイ</t>
    </rPh>
    <phoneticPr fontId="2"/>
  </si>
  <si>
    <t>浄化槽</t>
    <phoneticPr fontId="2"/>
  </si>
  <si>
    <t>（その後、把握できた情報を随時更新）</t>
    <rPh sb="3" eb="4">
      <t>ゴ</t>
    </rPh>
    <rPh sb="5" eb="7">
      <t>ハアク</t>
    </rPh>
    <rPh sb="10" eb="12">
      <t>ジョウホウ</t>
    </rPh>
    <rPh sb="13" eb="15">
      <t>ズイジ</t>
    </rPh>
    <rPh sb="15" eb="17">
      <t>コウシン</t>
    </rPh>
    <phoneticPr fontId="2"/>
  </si>
  <si>
    <t>（その後、把握できた情報を随時更新）</t>
    <rPh sb="15" eb="17">
      <t>コウシン</t>
    </rPh>
    <phoneticPr fontId="2"/>
  </si>
  <si>
    <t>（類型選択）</t>
    <rPh sb="1" eb="3">
      <t>ルイケイ</t>
    </rPh>
    <rPh sb="3" eb="5">
      <t>センタク</t>
    </rPh>
    <phoneticPr fontId="2"/>
  </si>
  <si>
    <t>（詳細記述）</t>
    <rPh sb="1" eb="5">
      <t>ショウサイキジュツ</t>
    </rPh>
    <phoneticPr fontId="2"/>
  </si>
  <si>
    <t>災害等廃棄物等に関する状況について　【情報共有フォーマット（被災情報用シート）】</t>
    <rPh sb="30" eb="34">
      <t>ヒサイジョウホウ</t>
    </rPh>
    <rPh sb="34" eb="35">
      <t>ヨウ</t>
    </rPh>
    <phoneticPr fontId="2"/>
  </si>
  <si>
    <t>都道府県名：　　　　　　　　課室名：　　　　　　　　　　　　　　担当者名：　　　　　　　　　　</t>
    <rPh sb="0" eb="4">
      <t>トドウフケン</t>
    </rPh>
    <phoneticPr fontId="2"/>
  </si>
  <si>
    <t>（電話： 　　　　　　　　　メールアドレス：　　　　　　　　　　　　　　　　　　　　　　　　　）</t>
    <phoneticPr fontId="2"/>
  </si>
  <si>
    <r>
      <t>※</t>
    </r>
    <r>
      <rPr>
        <b/>
        <u/>
        <sz val="9"/>
        <color theme="8" tint="-0.249977111117893"/>
        <rFont val="Meiryo UI"/>
        <family val="3"/>
        <charset val="128"/>
      </rPr>
      <t>前回からの変更箇所は赤字</t>
    </r>
    <r>
      <rPr>
        <sz val="9"/>
        <color theme="8" tint="-0.249977111117893"/>
        <rFont val="Meiryo UI"/>
        <family val="3"/>
        <charset val="128"/>
      </rPr>
      <t>としてください。</t>
    </r>
    <rPh sb="11" eb="13">
      <t>アカジ</t>
    </rPh>
    <phoneticPr fontId="2"/>
  </si>
  <si>
    <r>
      <t>※</t>
    </r>
    <r>
      <rPr>
        <b/>
        <u/>
        <sz val="9"/>
        <color theme="8" tint="-0.249977111117893"/>
        <rFont val="Meiryo UI"/>
        <family val="3"/>
        <charset val="128"/>
      </rPr>
      <t>必要に応じて、行を追加</t>
    </r>
    <r>
      <rPr>
        <sz val="9"/>
        <color theme="8" tint="-0.249977111117893"/>
        <rFont val="Meiryo UI"/>
        <family val="3"/>
        <charset val="128"/>
      </rPr>
      <t>して記載してください。</t>
    </r>
    <phoneticPr fontId="2"/>
  </si>
  <si>
    <r>
      <t>※随時更新していく情報につき、</t>
    </r>
    <r>
      <rPr>
        <b/>
        <u/>
        <sz val="9"/>
        <color theme="8" tint="-0.249977111117893"/>
        <rFont val="Meiryo UI"/>
        <family val="3"/>
        <charset val="128"/>
      </rPr>
      <t>現段階で把握している情報を記載</t>
    </r>
    <r>
      <rPr>
        <sz val="9"/>
        <color theme="8" tint="-0.249977111117893"/>
        <rFont val="Meiryo UI"/>
        <family val="3"/>
        <charset val="128"/>
      </rPr>
      <t>してください。すぐに修正となっても問題ありません。</t>
    </r>
    <rPh sb="28" eb="30">
      <t>キサイ</t>
    </rPh>
    <phoneticPr fontId="2"/>
  </si>
  <si>
    <r>
      <t xml:space="preserve">（公表されていれば）
</t>
    </r>
    <r>
      <rPr>
        <sz val="9"/>
        <color theme="1"/>
        <rFont val="Meiryo UI"/>
        <family val="3"/>
        <charset val="128"/>
      </rPr>
      <t>仮置場情報ウェブサイトURL</t>
    </r>
    <rPh sb="1" eb="3">
      <t>コウヒョウ</t>
    </rPh>
    <rPh sb="11" eb="14">
      <t>カリオキバ</t>
    </rPh>
    <rPh sb="14" eb="16">
      <t>ジョウホウ</t>
    </rPh>
    <phoneticPr fontId="2"/>
  </si>
  <si>
    <t>［Ctrl + ；］</t>
    <phoneticPr fontId="2"/>
  </si>
  <si>
    <t>［Ctrl + ：］</t>
    <phoneticPr fontId="2"/>
  </si>
  <si>
    <t>棟数</t>
    <rPh sb="0" eb="2">
      <t>トウスウ</t>
    </rPh>
    <phoneticPr fontId="2"/>
  </si>
  <si>
    <t>世帯数</t>
    <rPh sb="0" eb="3">
      <t>セタイスウ</t>
    </rPh>
    <phoneticPr fontId="2"/>
  </si>
  <si>
    <r>
      <t xml:space="preserve">災害廃棄物
</t>
    </r>
    <r>
      <rPr>
        <sz val="6"/>
        <color theme="1"/>
        <rFont val="Meiryo UI"/>
        <family val="3"/>
        <charset val="128"/>
      </rPr>
      <t>推計量自動計算</t>
    </r>
    <rPh sb="0" eb="5">
      <t>サイガイハイキブツ</t>
    </rPh>
    <phoneticPr fontId="2"/>
  </si>
  <si>
    <t>（ｔ）</t>
    <phoneticPr fontId="2"/>
  </si>
  <si>
    <t>※被害がありえるものの、「被害なし」と確認できていない場合は、「確認中」として取扱うこと。</t>
    <rPh sb="1" eb="3">
      <t>ヒガイ</t>
    </rPh>
    <rPh sb="13" eb="15">
      <t>ヒガイ</t>
    </rPh>
    <rPh sb="19" eb="21">
      <t>カクニン</t>
    </rPh>
    <rPh sb="27" eb="29">
      <t>バアイ</t>
    </rPh>
    <rPh sb="32" eb="35">
      <t>カクニンチュウ</t>
    </rPh>
    <rPh sb="39" eb="41">
      <t>トリアツカ</t>
    </rPh>
    <phoneticPr fontId="2"/>
  </si>
  <si>
    <t>（市町村基礎データ）</t>
    <rPh sb="1" eb="4">
      <t>シチョウソン</t>
    </rPh>
    <rPh sb="4" eb="6">
      <t>キソ</t>
    </rPh>
    <phoneticPr fontId="2"/>
  </si>
  <si>
    <t>（世帯）</t>
    <rPh sb="1" eb="3">
      <t>セタイ</t>
    </rPh>
    <phoneticPr fontId="2"/>
  </si>
  <si>
    <t>災害廃棄物処理
事業見込額</t>
    <rPh sb="0" eb="2">
      <t>サイガイ</t>
    </rPh>
    <rPh sb="2" eb="5">
      <t>ハイキブツ</t>
    </rPh>
    <rPh sb="5" eb="7">
      <t>ショリ</t>
    </rPh>
    <rPh sb="8" eb="10">
      <t>ジギョウ</t>
    </rPh>
    <rPh sb="10" eb="12">
      <t>ミコ</t>
    </rPh>
    <rPh sb="12" eb="13">
      <t>ガク</t>
    </rPh>
    <phoneticPr fontId="2"/>
  </si>
  <si>
    <r>
      <t xml:space="preserve">災害廃棄物
</t>
    </r>
    <r>
      <rPr>
        <sz val="6"/>
        <color theme="1"/>
        <rFont val="Meiryo UI"/>
        <family val="3"/>
        <charset val="128"/>
      </rPr>
      <t>発生総量</t>
    </r>
    <rPh sb="0" eb="5">
      <t>サイガイハイキブツ</t>
    </rPh>
    <rPh sb="6" eb="8">
      <t>ハッセイ</t>
    </rPh>
    <rPh sb="8" eb="9">
      <t>ソウ</t>
    </rPh>
    <rPh sb="9" eb="10">
      <t>リョウ</t>
    </rPh>
    <phoneticPr fontId="2"/>
  </si>
  <si>
    <t>（以下の欄は、「仮置場を設置した場合」又は「地方環境事務所から依頼があった場合」に記載してください）</t>
    <rPh sb="1" eb="3">
      <t>イカ</t>
    </rPh>
    <rPh sb="4" eb="5">
      <t>ラン</t>
    </rPh>
    <rPh sb="8" eb="11">
      <t>カリオキバ</t>
    </rPh>
    <rPh sb="12" eb="14">
      <t>セッチ</t>
    </rPh>
    <rPh sb="16" eb="18">
      <t>バアイ</t>
    </rPh>
    <rPh sb="19" eb="20">
      <t>マタ</t>
    </rPh>
    <rPh sb="22" eb="29">
      <t>チホウカンキョウジムショ</t>
    </rPh>
    <rPh sb="31" eb="33">
      <t>イライ</t>
    </rPh>
    <rPh sb="37" eb="39">
      <t>バアイ</t>
    </rPh>
    <rPh sb="41" eb="43">
      <t>キサイ</t>
    </rPh>
    <phoneticPr fontId="2"/>
  </si>
  <si>
    <t>最大保管容量に対する割合</t>
    <rPh sb="0" eb="2">
      <t>サイダイ</t>
    </rPh>
    <rPh sb="2" eb="6">
      <t>ホカンヨウリョウ</t>
    </rPh>
    <rPh sb="7" eb="8">
      <t>タイ</t>
    </rPh>
    <rPh sb="10" eb="12">
      <t>ワリアイ</t>
    </rPh>
    <phoneticPr fontId="2"/>
  </si>
  <si>
    <t>うち腐敗物（%）</t>
    <rPh sb="2" eb="5">
      <t>フハイブツ</t>
    </rPh>
    <phoneticPr fontId="2"/>
  </si>
  <si>
    <t>腐敗物以外（％）</t>
    <rPh sb="0" eb="5">
      <t>フハイブツイガイ</t>
    </rPh>
    <phoneticPr fontId="2"/>
  </si>
  <si>
    <r>
      <rPr>
        <sz val="9"/>
        <color theme="1"/>
        <rFont val="Meiryo UI"/>
        <family val="3"/>
        <charset val="128"/>
      </rPr>
      <t>備考</t>
    </r>
    <r>
      <rPr>
        <sz val="8"/>
        <color theme="1"/>
        <rFont val="Meiryo UI"/>
        <family val="3"/>
        <charset val="128"/>
      </rPr>
      <t xml:space="preserve">
</t>
    </r>
    <r>
      <rPr>
        <sz val="6"/>
        <color theme="1"/>
        <rFont val="Meiryo UI"/>
        <family val="3"/>
        <charset val="128"/>
      </rPr>
      <t>（受入状況、搬出状況等）</t>
    </r>
    <rPh sb="0" eb="2">
      <t>ビコウ</t>
    </rPh>
    <rPh sb="4" eb="5">
      <t>ウ</t>
    </rPh>
    <rPh sb="5" eb="6">
      <t>イ</t>
    </rPh>
    <rPh sb="6" eb="8">
      <t>ジョウキョウ</t>
    </rPh>
    <rPh sb="8" eb="9">
      <t>トウ</t>
    </rPh>
    <phoneticPr fontId="2"/>
  </si>
  <si>
    <t>（参考）総務省｜住民基本台帳に基づく人口、人口動態及び世帯数</t>
    <rPh sb="1" eb="3">
      <t>サンコウ</t>
    </rPh>
    <rPh sb="4" eb="7">
      <t>ソウムショウ</t>
    </rPh>
    <phoneticPr fontId="2"/>
  </si>
  <si>
    <t>（参考）e-Stat｜住宅・土地統計調査</t>
    <rPh sb="1" eb="3">
      <t>サンコウ</t>
    </rPh>
    <phoneticPr fontId="2"/>
  </si>
  <si>
    <t>※災害廃棄物発生総量の算定に当たっては、必要に応じて、欄外の推計量自動計算を活用して算出可能。（※より具体的な発生量を把握している場合はその内容を記載）</t>
    <rPh sb="1" eb="6">
      <t>サイガイハイキブツ</t>
    </rPh>
    <rPh sb="6" eb="8">
      <t>ハッセイ</t>
    </rPh>
    <rPh sb="8" eb="10">
      <t>ソウリョウ</t>
    </rPh>
    <rPh sb="11" eb="13">
      <t>サンテイ</t>
    </rPh>
    <rPh sb="14" eb="15">
      <t>ア</t>
    </rPh>
    <rPh sb="20" eb="22">
      <t>ヒツヨウ</t>
    </rPh>
    <rPh sb="23" eb="24">
      <t>オウ</t>
    </rPh>
    <rPh sb="27" eb="29">
      <t>ランガイ</t>
    </rPh>
    <rPh sb="30" eb="33">
      <t>スイケイリョウ</t>
    </rPh>
    <rPh sb="33" eb="37">
      <t>ジドウケイサン</t>
    </rPh>
    <rPh sb="38" eb="40">
      <t>カツヨウ</t>
    </rPh>
    <rPh sb="42" eb="44">
      <t>サンシュツ</t>
    </rPh>
    <rPh sb="44" eb="46">
      <t>カノウ</t>
    </rPh>
    <rPh sb="51" eb="54">
      <t>グタイテキ</t>
    </rPh>
    <rPh sb="55" eb="58">
      <t>ハッセイリョウ</t>
    </rPh>
    <rPh sb="59" eb="61">
      <t>ハアク</t>
    </rPh>
    <rPh sb="65" eb="67">
      <t>バアイ</t>
    </rPh>
    <rPh sb="70" eb="72">
      <t>ナイヨウ</t>
    </rPh>
    <rPh sb="73" eb="75">
      <t>キサイ</t>
    </rPh>
    <phoneticPr fontId="2"/>
  </si>
  <si>
    <t>※床上浸水と床下浸水の被害世帯数を把握している自治体においては、床上浸水・床下浸水の棟数・世帯数を用いることで、より実態に近い推計量が算出できます。</t>
    <rPh sb="32" eb="36">
      <t>ユカウエシンスイ</t>
    </rPh>
    <rPh sb="37" eb="41">
      <t>ユカシタシンスイ</t>
    </rPh>
    <rPh sb="42" eb="44">
      <t>トウスウ</t>
    </rPh>
    <rPh sb="45" eb="48">
      <t>セタイスウ</t>
    </rPh>
    <rPh sb="49" eb="50">
      <t>モチ</t>
    </rPh>
    <rPh sb="58" eb="60">
      <t>ジッタイ</t>
    </rPh>
    <rPh sb="61" eb="62">
      <t>チカ</t>
    </rPh>
    <rPh sb="63" eb="66">
      <t>スイケイリョウ</t>
    </rPh>
    <rPh sb="67" eb="69">
      <t>サンシュツ</t>
    </rPh>
    <phoneticPr fontId="2"/>
  </si>
  <si>
    <t>※「棟数」及び「世帯数」は、市町村の基礎データとしての棟数・世帯数を入力してください。（発災直後であるため、簡易的な計算）</t>
    <phoneticPr fontId="2"/>
  </si>
  <si>
    <t>（有／調整中／無）</t>
    <rPh sb="1" eb="2">
      <t>ア</t>
    </rPh>
    <rPh sb="3" eb="6">
      <t>チョウセイチュウ</t>
    </rPh>
    <rPh sb="7" eb="8">
      <t>ム</t>
    </rPh>
    <phoneticPr fontId="2"/>
  </si>
  <si>
    <t>仮置場設置</t>
    <rPh sb="3" eb="5">
      <t>セッチ</t>
    </rPh>
    <phoneticPr fontId="2"/>
  </si>
  <si>
    <t>企画調整グループ</t>
    <rPh sb="0" eb="2">
      <t>キカク</t>
    </rPh>
    <rPh sb="2" eb="4">
      <t>チョウセイ</t>
    </rPh>
    <phoneticPr fontId="2"/>
  </si>
  <si>
    <t>仮設トイレリース数</t>
    <rPh sb="0" eb="2">
      <t>カセツ</t>
    </rPh>
    <rPh sb="8" eb="9">
      <t>スウ</t>
    </rPh>
    <phoneticPr fontId="2"/>
  </si>
  <si>
    <t>指示内容</t>
    <rPh sb="0" eb="4">
      <t>シジナイヨウ</t>
    </rPh>
    <phoneticPr fontId="2"/>
  </si>
  <si>
    <t>指示</t>
    <rPh sb="0" eb="2">
      <t>シジ</t>
    </rPh>
    <phoneticPr fontId="2"/>
  </si>
  <si>
    <t>未・済</t>
    <rPh sb="0" eb="1">
      <t>ミ</t>
    </rPh>
    <rPh sb="2" eb="3">
      <t>ズ</t>
    </rPh>
    <phoneticPr fontId="2"/>
  </si>
  <si>
    <t>被災状況収集</t>
    <rPh sb="0" eb="2">
      <t>ヒサイ</t>
    </rPh>
    <rPh sb="2" eb="4">
      <t>ジョウキョウ</t>
    </rPh>
    <rPh sb="4" eb="6">
      <t>シュウシュウ</t>
    </rPh>
    <phoneticPr fontId="2"/>
  </si>
  <si>
    <t>道路情報、気象情報収集</t>
    <rPh sb="0" eb="4">
      <t>ドウロジョウホウ</t>
    </rPh>
    <rPh sb="5" eb="11">
      <t>キショウジョウホウシュウシュウ</t>
    </rPh>
    <phoneticPr fontId="2"/>
  </si>
  <si>
    <t>連絡方法の確立</t>
    <rPh sb="0" eb="4">
      <t>レンラクホウホウ</t>
    </rPh>
    <rPh sb="5" eb="7">
      <t>カクリツ</t>
    </rPh>
    <phoneticPr fontId="2"/>
  </si>
  <si>
    <t>被災状況の道への報告</t>
    <rPh sb="0" eb="4">
      <t>ヒサイジョウキョウ</t>
    </rPh>
    <rPh sb="5" eb="6">
      <t>ドウ</t>
    </rPh>
    <rPh sb="8" eb="10">
      <t>ホウコク</t>
    </rPh>
    <phoneticPr fontId="2"/>
  </si>
  <si>
    <t>し尿処理計画（案）作成提出</t>
    <rPh sb="1" eb="2">
      <t>ニョウ</t>
    </rPh>
    <rPh sb="2" eb="4">
      <t>ショリ</t>
    </rPh>
    <rPh sb="4" eb="6">
      <t>ケイカク</t>
    </rPh>
    <rPh sb="7" eb="8">
      <t>アン</t>
    </rPh>
    <rPh sb="9" eb="11">
      <t>サクセイ</t>
    </rPh>
    <rPh sb="11" eb="13">
      <t>テイシュツ</t>
    </rPh>
    <phoneticPr fontId="2"/>
  </si>
  <si>
    <t>回収ルート、回収者、処理先、支援要否</t>
    <rPh sb="0" eb="2">
      <t>カイシュウ</t>
    </rPh>
    <rPh sb="6" eb="8">
      <t>カイシュウ</t>
    </rPh>
    <rPh sb="8" eb="9">
      <t>シャ</t>
    </rPh>
    <rPh sb="10" eb="13">
      <t>ショリサキ</t>
    </rPh>
    <rPh sb="14" eb="16">
      <t>シエン</t>
    </rPh>
    <rPh sb="16" eb="18">
      <t>ヨウヒ</t>
    </rPh>
    <phoneticPr fontId="2"/>
  </si>
  <si>
    <t>生活系ごみ収集処分計画（案）作成提出</t>
    <rPh sb="0" eb="3">
      <t>セイカツケイ</t>
    </rPh>
    <rPh sb="5" eb="7">
      <t>シュウシュウ</t>
    </rPh>
    <rPh sb="7" eb="9">
      <t>ショブン</t>
    </rPh>
    <rPh sb="9" eb="11">
      <t>ケイカク</t>
    </rPh>
    <rPh sb="12" eb="13">
      <t>アン</t>
    </rPh>
    <rPh sb="14" eb="16">
      <t>サクセイ</t>
    </rPh>
    <rPh sb="16" eb="18">
      <t>テイシュツ</t>
    </rPh>
    <phoneticPr fontId="2"/>
  </si>
  <si>
    <t>避難所ごみの分別方法、回収ルート、回収者、処理先、支援要否</t>
    <rPh sb="0" eb="3">
      <t>ヒナンショ</t>
    </rPh>
    <rPh sb="6" eb="10">
      <t>ブンベツホウホウ</t>
    </rPh>
    <rPh sb="11" eb="13">
      <t>カイシュウ</t>
    </rPh>
    <rPh sb="17" eb="19">
      <t>カイシュウ</t>
    </rPh>
    <rPh sb="19" eb="20">
      <t>シャ</t>
    </rPh>
    <rPh sb="21" eb="24">
      <t>ショリサキ</t>
    </rPh>
    <rPh sb="25" eb="27">
      <t>シエン</t>
    </rPh>
    <rPh sb="27" eb="29">
      <t>ヨウヒ</t>
    </rPh>
    <phoneticPr fontId="2"/>
  </si>
  <si>
    <t>災害廃棄物Ｇ</t>
    <rPh sb="0" eb="5">
      <t>サイガイハイキブツ</t>
    </rPh>
    <phoneticPr fontId="2"/>
  </si>
  <si>
    <t>生活系ごみＧ</t>
    <rPh sb="0" eb="3">
      <t>セイカツケイ</t>
    </rPh>
    <phoneticPr fontId="2"/>
  </si>
  <si>
    <t>有害物質・腐敗物処理計画（案）作成提出</t>
    <rPh sb="0" eb="4">
      <t>ユウガイブッシツ</t>
    </rPh>
    <rPh sb="5" eb="8">
      <t>フハイブツ</t>
    </rPh>
    <rPh sb="8" eb="12">
      <t>ショリケイカク</t>
    </rPh>
    <rPh sb="13" eb="14">
      <t>アン</t>
    </rPh>
    <rPh sb="15" eb="19">
      <t>サクセイテイシュツ</t>
    </rPh>
    <phoneticPr fontId="2"/>
  </si>
  <si>
    <t>有害物質・腐敗ごみの種類及び量、緊急性、処理先、支援要否</t>
    <rPh sb="0" eb="4">
      <t>ユウガイブッシツ</t>
    </rPh>
    <rPh sb="5" eb="7">
      <t>フハイ</t>
    </rPh>
    <rPh sb="10" eb="12">
      <t>シュルイ</t>
    </rPh>
    <rPh sb="12" eb="13">
      <t>オヨ</t>
    </rPh>
    <rPh sb="14" eb="15">
      <t>リョウ</t>
    </rPh>
    <rPh sb="16" eb="19">
      <t>キンキュウセイ</t>
    </rPh>
    <rPh sb="20" eb="23">
      <t>ショリサキ</t>
    </rPh>
    <rPh sb="24" eb="26">
      <t>シエン</t>
    </rPh>
    <rPh sb="26" eb="28">
      <t>ヨウヒ</t>
    </rPh>
    <phoneticPr fontId="2"/>
  </si>
  <si>
    <t>災害廃棄物処理計画（案）作成提出</t>
    <rPh sb="0" eb="5">
      <t>サイガイハイキブツ</t>
    </rPh>
    <rPh sb="5" eb="9">
      <t>ショリケイカク</t>
    </rPh>
    <rPh sb="10" eb="11">
      <t>アン</t>
    </rPh>
    <rPh sb="12" eb="14">
      <t>サクセイ</t>
    </rPh>
    <rPh sb="14" eb="16">
      <t>テイシュツ</t>
    </rPh>
    <phoneticPr fontId="2"/>
  </si>
  <si>
    <t>仮置場の設置</t>
    <rPh sb="0" eb="3">
      <t>カリオキバ</t>
    </rPh>
    <rPh sb="4" eb="6">
      <t>セッチ</t>
    </rPh>
    <phoneticPr fontId="2"/>
  </si>
  <si>
    <t>分別方法、回収ルート、処理先、回収者、処理業者、支援要否、ボランティア実施範囲、自衛隊支援範囲</t>
    <rPh sb="0" eb="2">
      <t>ブンベツ</t>
    </rPh>
    <rPh sb="2" eb="4">
      <t>ホウホウ</t>
    </rPh>
    <rPh sb="5" eb="7">
      <t>カイシュウ</t>
    </rPh>
    <rPh sb="11" eb="14">
      <t>ショリサキ</t>
    </rPh>
    <rPh sb="15" eb="17">
      <t>カイシュウ</t>
    </rPh>
    <rPh sb="17" eb="18">
      <t>シャ</t>
    </rPh>
    <rPh sb="19" eb="23">
      <t>ショリギョウシャ</t>
    </rPh>
    <rPh sb="35" eb="39">
      <t>ジッシハンイ</t>
    </rPh>
    <rPh sb="40" eb="43">
      <t>ジエイタイ</t>
    </rPh>
    <rPh sb="43" eb="47">
      <t>シエンハンイ</t>
    </rPh>
    <phoneticPr fontId="2"/>
  </si>
  <si>
    <t>設置場所、面積、利用・分別方法、維持管理方法、管理者</t>
    <rPh sb="0" eb="4">
      <t>セッチバショ</t>
    </rPh>
    <rPh sb="5" eb="7">
      <t>メンセキ</t>
    </rPh>
    <rPh sb="8" eb="10">
      <t>リヨウ</t>
    </rPh>
    <rPh sb="11" eb="15">
      <t>ブンベツホウホウ</t>
    </rPh>
    <rPh sb="16" eb="22">
      <t>イジカンリホウホウ</t>
    </rPh>
    <rPh sb="23" eb="26">
      <t>カンリシャ</t>
    </rPh>
    <phoneticPr fontId="2"/>
  </si>
  <si>
    <t>仮置場の設置（案）</t>
    <rPh sb="0" eb="3">
      <t>カリオキバ</t>
    </rPh>
    <rPh sb="4" eb="6">
      <t>セッチ</t>
    </rPh>
    <rPh sb="7" eb="8">
      <t>アン</t>
    </rPh>
    <phoneticPr fontId="2"/>
  </si>
  <si>
    <t>連絡先一覧</t>
    <rPh sb="0" eb="3">
      <t>レンラクサキ</t>
    </rPh>
    <rPh sb="3" eb="5">
      <t>イチラン</t>
    </rPh>
    <phoneticPr fontId="2"/>
  </si>
  <si>
    <t>仮設トイレ設置計画（案）作成提出</t>
    <rPh sb="0" eb="2">
      <t>カセツ</t>
    </rPh>
    <rPh sb="5" eb="7">
      <t>セッチ</t>
    </rPh>
    <rPh sb="7" eb="9">
      <t>ケイカク</t>
    </rPh>
    <rPh sb="10" eb="11">
      <t>アン</t>
    </rPh>
    <rPh sb="12" eb="14">
      <t>サクセイ</t>
    </rPh>
    <rPh sb="14" eb="16">
      <t>テイシュツ</t>
    </rPh>
    <phoneticPr fontId="2"/>
  </si>
  <si>
    <t>し尿処理計画</t>
    <rPh sb="1" eb="2">
      <t>ニョウ</t>
    </rPh>
    <rPh sb="2" eb="6">
      <t>ショリケイカク</t>
    </rPh>
    <phoneticPr fontId="2"/>
  </si>
  <si>
    <t>実施事項</t>
    <rPh sb="0" eb="2">
      <t>ジッシ</t>
    </rPh>
    <rPh sb="2" eb="4">
      <t>ジコウ</t>
    </rPh>
    <phoneticPr fontId="2"/>
  </si>
  <si>
    <t>災対本部員会議での状況報告</t>
    <rPh sb="0" eb="7">
      <t>サイタイホンブインカイギ</t>
    </rPh>
    <rPh sb="9" eb="13">
      <t>ジョウキョウホウコク</t>
    </rPh>
    <phoneticPr fontId="2"/>
  </si>
  <si>
    <t>調整事項</t>
    <rPh sb="0" eb="4">
      <t>チョウセイジコウ</t>
    </rPh>
    <phoneticPr fontId="2"/>
  </si>
  <si>
    <t>仮設トイレ、バキューム車、パッカー車、処分先の不足</t>
    <rPh sb="0" eb="2">
      <t>カセツ</t>
    </rPh>
    <rPh sb="11" eb="12">
      <t>シャ</t>
    </rPh>
    <rPh sb="17" eb="18">
      <t>シャ</t>
    </rPh>
    <rPh sb="19" eb="22">
      <t>ショブンサキ</t>
    </rPh>
    <rPh sb="23" eb="25">
      <t>フソク</t>
    </rPh>
    <phoneticPr fontId="2"/>
  </si>
  <si>
    <t>収集運搬車両、処分先の不足、仮置場</t>
    <rPh sb="0" eb="2">
      <t>シュウシュウ</t>
    </rPh>
    <rPh sb="2" eb="4">
      <t>ウンパン</t>
    </rPh>
    <rPh sb="4" eb="6">
      <t>シャリョウ</t>
    </rPh>
    <rPh sb="7" eb="10">
      <t>ショブンサキ</t>
    </rPh>
    <rPh sb="11" eb="13">
      <t>フソク</t>
    </rPh>
    <rPh sb="14" eb="17">
      <t>カリオキバ</t>
    </rPh>
    <phoneticPr fontId="2"/>
  </si>
  <si>
    <t>仮置場設置</t>
    <rPh sb="0" eb="3">
      <t>カリオキバ</t>
    </rPh>
    <rPh sb="3" eb="5">
      <t>セッチ</t>
    </rPh>
    <phoneticPr fontId="2"/>
  </si>
  <si>
    <t>他部署の利用、地権者、周辺住民、土壌分析</t>
    <rPh sb="0" eb="1">
      <t>タ</t>
    </rPh>
    <rPh sb="1" eb="3">
      <t>ブショ</t>
    </rPh>
    <rPh sb="4" eb="6">
      <t>リヨウ</t>
    </rPh>
    <rPh sb="7" eb="10">
      <t>チケンシャ</t>
    </rPh>
    <rPh sb="11" eb="13">
      <t>シュウヘン</t>
    </rPh>
    <rPh sb="13" eb="15">
      <t>ジュウミン</t>
    </rPh>
    <rPh sb="16" eb="20">
      <t>ドジョウブンセキ</t>
    </rPh>
    <phoneticPr fontId="2"/>
  </si>
  <si>
    <t>有害物質・腐敗物処理計画</t>
    <rPh sb="0" eb="4">
      <t>ユウガイブッシツ</t>
    </rPh>
    <rPh sb="5" eb="8">
      <t>フハイブツ</t>
    </rPh>
    <rPh sb="8" eb="12">
      <t>ショリケイカク</t>
    </rPh>
    <phoneticPr fontId="2"/>
  </si>
  <si>
    <t>災害廃棄物処理計画</t>
    <rPh sb="0" eb="5">
      <t>サイガイハイキブツ</t>
    </rPh>
    <rPh sb="5" eb="9">
      <t>ショリケイカク</t>
    </rPh>
    <phoneticPr fontId="2"/>
  </si>
  <si>
    <t>決定</t>
    <rPh sb="0" eb="2">
      <t>ケッテイ</t>
    </rPh>
    <phoneticPr fontId="2"/>
  </si>
  <si>
    <t>実施</t>
    <rPh sb="0" eb="2">
      <t>ジッシ</t>
    </rPh>
    <phoneticPr fontId="2"/>
  </si>
  <si>
    <t>調整</t>
    <rPh sb="0" eb="2">
      <t>チョウセイ</t>
    </rPh>
    <phoneticPr fontId="2"/>
  </si>
  <si>
    <t>クロノロジー（記録）の開始</t>
    <rPh sb="7" eb="9">
      <t>キロク</t>
    </rPh>
    <rPh sb="11" eb="13">
      <t>カイシ</t>
    </rPh>
    <phoneticPr fontId="2"/>
  </si>
  <si>
    <t>連絡先一覧作成</t>
    <rPh sb="0" eb="3">
      <t>レンラクサキ</t>
    </rPh>
    <rPh sb="3" eb="5">
      <t>イチラン</t>
    </rPh>
    <rPh sb="5" eb="7">
      <t>サクセイ</t>
    </rPh>
    <phoneticPr fontId="2"/>
  </si>
  <si>
    <t>企画調整Ｇ</t>
    <rPh sb="0" eb="2">
      <t>キカク</t>
    </rPh>
    <rPh sb="2" eb="4">
      <t>チョウセイ</t>
    </rPh>
    <phoneticPr fontId="2"/>
  </si>
  <si>
    <t>情報収集Ｇ</t>
    <rPh sb="0" eb="4">
      <t>ジョウホウシュウシュウ</t>
    </rPh>
    <phoneticPr fontId="2"/>
  </si>
  <si>
    <t>電話番号</t>
    <rPh sb="0" eb="4">
      <t>デンワバンゴウ</t>
    </rPh>
    <phoneticPr fontId="2"/>
  </si>
  <si>
    <t>E-mail</t>
    <phoneticPr fontId="2"/>
  </si>
  <si>
    <t>その他</t>
    <rPh sb="2" eb="3">
      <t>タ</t>
    </rPh>
    <phoneticPr fontId="2"/>
  </si>
  <si>
    <t>仮置場Ｇ</t>
    <rPh sb="0" eb="3">
      <t>カリオキバ</t>
    </rPh>
    <phoneticPr fontId="2"/>
  </si>
  <si>
    <t>契約Ｇ</t>
    <rPh sb="0" eb="2">
      <t>ケイヤク</t>
    </rPh>
    <phoneticPr fontId="2"/>
  </si>
  <si>
    <t>〇〇衛生施設組合</t>
    <rPh sb="2" eb="8">
      <t>エイセイシセツクミアイ</t>
    </rPh>
    <phoneticPr fontId="2"/>
  </si>
  <si>
    <t>㈱○○</t>
    <phoneticPr fontId="2"/>
  </si>
  <si>
    <t>し尿運搬</t>
    <rPh sb="1" eb="2">
      <t>ニョウ</t>
    </rPh>
    <rPh sb="2" eb="4">
      <t>ウンパン</t>
    </rPh>
    <phoneticPr fontId="2"/>
  </si>
  <si>
    <t>担当者、会社名</t>
    <rPh sb="0" eb="3">
      <t>タントウシャ</t>
    </rPh>
    <rPh sb="4" eb="7">
      <t>カイシャメイ</t>
    </rPh>
    <phoneticPr fontId="2"/>
  </si>
  <si>
    <t>し尿処理施設</t>
    <rPh sb="1" eb="4">
      <t>ニョウショリ</t>
    </rPh>
    <rPh sb="4" eb="6">
      <t>シセツ</t>
    </rPh>
    <phoneticPr fontId="2"/>
  </si>
  <si>
    <t>仮設トイレ</t>
    <rPh sb="0" eb="2">
      <t>カセツ</t>
    </rPh>
    <phoneticPr fontId="2"/>
  </si>
  <si>
    <t>〇〇㈱</t>
    <phoneticPr fontId="2"/>
  </si>
  <si>
    <t>一廃処理</t>
    <rPh sb="0" eb="4">
      <t>イッパイショリ</t>
    </rPh>
    <phoneticPr fontId="2"/>
  </si>
  <si>
    <t>△△組合焼却施設</t>
    <rPh sb="2" eb="4">
      <t>クミアイ</t>
    </rPh>
    <rPh sb="4" eb="8">
      <t>ショウキャクシセツ</t>
    </rPh>
    <phoneticPr fontId="2"/>
  </si>
  <si>
    <t>△△組合最終処分場</t>
    <rPh sb="2" eb="4">
      <t>クミアイ</t>
    </rPh>
    <rPh sb="4" eb="6">
      <t>サイシュウ</t>
    </rPh>
    <rPh sb="6" eb="9">
      <t>ショブンジョウ</t>
    </rPh>
    <phoneticPr fontId="2"/>
  </si>
  <si>
    <t>一廃運搬（パッカー車）</t>
    <rPh sb="0" eb="4">
      <t>イッパイウンパン</t>
    </rPh>
    <rPh sb="9" eb="10">
      <t>シャ</t>
    </rPh>
    <phoneticPr fontId="2"/>
  </si>
  <si>
    <t>◇◇㈱</t>
    <phoneticPr fontId="2"/>
  </si>
  <si>
    <t>一廃運搬（平ボディ）</t>
    <rPh sb="0" eb="2">
      <t>イッパイ</t>
    </rPh>
    <rPh sb="2" eb="4">
      <t>ウンパン</t>
    </rPh>
    <rPh sb="5" eb="6">
      <t>ヒラ</t>
    </rPh>
    <phoneticPr fontId="2"/>
  </si>
  <si>
    <t>㈱〇〇</t>
    <phoneticPr fontId="2"/>
  </si>
  <si>
    <t>〇〇　○○</t>
    <phoneticPr fontId="2"/>
  </si>
  <si>
    <t>災害対策本部</t>
    <rPh sb="0" eb="2">
      <t>サイガイ</t>
    </rPh>
    <rPh sb="2" eb="4">
      <t>タイサク</t>
    </rPh>
    <rPh sb="4" eb="6">
      <t>ホンブ</t>
    </rPh>
    <phoneticPr fontId="2"/>
  </si>
  <si>
    <t>北海道循環型社会推進課</t>
    <rPh sb="0" eb="3">
      <t>ホッカイドウ</t>
    </rPh>
    <rPh sb="3" eb="8">
      <t>ジュンカンガタシャカイ</t>
    </rPh>
    <rPh sb="8" eb="11">
      <t>スイシンカ</t>
    </rPh>
    <phoneticPr fontId="2"/>
  </si>
  <si>
    <t>北海道地方環境事務所資源循環課</t>
    <rPh sb="0" eb="3">
      <t>ホッカイドウ</t>
    </rPh>
    <rPh sb="3" eb="5">
      <t>チホウ</t>
    </rPh>
    <rPh sb="5" eb="7">
      <t>カンキョウ</t>
    </rPh>
    <rPh sb="7" eb="10">
      <t>ジムショ</t>
    </rPh>
    <rPh sb="10" eb="15">
      <t>シゲンジュンカンカ</t>
    </rPh>
    <phoneticPr fontId="2"/>
  </si>
  <si>
    <t>協定締結先</t>
    <rPh sb="0" eb="5">
      <t>キョウテイテイケツサキ</t>
    </rPh>
    <phoneticPr fontId="2"/>
  </si>
  <si>
    <t>仮置場１管理者</t>
    <rPh sb="0" eb="3">
      <t>カリオキバ</t>
    </rPh>
    <rPh sb="4" eb="7">
      <t>カンリシャ</t>
    </rPh>
    <phoneticPr fontId="2"/>
  </si>
  <si>
    <t>仮置場２管理者</t>
    <rPh sb="0" eb="3">
      <t>カリオキバ</t>
    </rPh>
    <rPh sb="4" eb="7">
      <t>カンリシャ</t>
    </rPh>
    <phoneticPr fontId="2"/>
  </si>
  <si>
    <t>実施事項</t>
    <rPh sb="0" eb="4">
      <t>ジッシジコウ</t>
    </rPh>
    <phoneticPr fontId="2"/>
  </si>
  <si>
    <t>クロノロの開始</t>
    <rPh sb="5" eb="7">
      <t>カイシ</t>
    </rPh>
    <phoneticPr fontId="2"/>
  </si>
  <si>
    <t>未・済</t>
    <rPh sb="0" eb="1">
      <t>ミ</t>
    </rPh>
    <rPh sb="2" eb="3">
      <t>スミ</t>
    </rPh>
    <phoneticPr fontId="2"/>
  </si>
  <si>
    <t>被災状況の収集</t>
    <rPh sb="0" eb="4">
      <t>ヒサイジョウキョウ</t>
    </rPh>
    <rPh sb="5" eb="7">
      <t>シュウシュウ</t>
    </rPh>
    <phoneticPr fontId="2"/>
  </si>
  <si>
    <t>避難状況の収集</t>
    <rPh sb="0" eb="2">
      <t>ヒナン</t>
    </rPh>
    <rPh sb="2" eb="4">
      <t>ジョウキョウ</t>
    </rPh>
    <rPh sb="5" eb="7">
      <t>シュウシュウ</t>
    </rPh>
    <phoneticPr fontId="2"/>
  </si>
  <si>
    <t>道路情報の収集</t>
    <rPh sb="0" eb="4">
      <t>ドウロジョウホウ</t>
    </rPh>
    <rPh sb="5" eb="7">
      <t>シュウシュウ</t>
    </rPh>
    <phoneticPr fontId="2"/>
  </si>
  <si>
    <t>各Ｇに提供</t>
    <rPh sb="0" eb="1">
      <t>カク</t>
    </rPh>
    <rPh sb="3" eb="5">
      <t>テイキョウ</t>
    </rPh>
    <phoneticPr fontId="2"/>
  </si>
  <si>
    <t>被災状況、避難状況、仮置場開設状況の報告</t>
    <rPh sb="0" eb="4">
      <t>ヒサイジョウキョウ</t>
    </rPh>
    <rPh sb="5" eb="9">
      <t>ヒナンジョウキョウ</t>
    </rPh>
    <rPh sb="10" eb="13">
      <t>カリオキバ</t>
    </rPh>
    <rPh sb="13" eb="17">
      <t>カイセツジョウキョウ</t>
    </rPh>
    <rPh sb="18" eb="20">
      <t>ホウコク</t>
    </rPh>
    <phoneticPr fontId="2"/>
  </si>
  <si>
    <t>企画調整Ｇ、生活系ごみＧ、災害廃棄物Ｇに情報提供</t>
    <rPh sb="0" eb="2">
      <t>キカク</t>
    </rPh>
    <rPh sb="2" eb="4">
      <t>チョウセイ</t>
    </rPh>
    <rPh sb="6" eb="9">
      <t>セイカツケイ</t>
    </rPh>
    <rPh sb="13" eb="18">
      <t>サイガイハイキブツ</t>
    </rPh>
    <rPh sb="22" eb="24">
      <t>テイキョウ</t>
    </rPh>
    <phoneticPr fontId="2"/>
  </si>
  <si>
    <t>企画調整Ｇ、生活系ごみＧ、災害廃棄物Ｇに提情報供</t>
    <rPh sb="0" eb="2">
      <t>キカク</t>
    </rPh>
    <rPh sb="2" eb="4">
      <t>チョウセイ</t>
    </rPh>
    <rPh sb="6" eb="9">
      <t>セイカツケイ</t>
    </rPh>
    <rPh sb="13" eb="18">
      <t>サイガイハイキブツ</t>
    </rPh>
    <rPh sb="20" eb="21">
      <t>テイ</t>
    </rPh>
    <rPh sb="21" eb="23">
      <t>ジョウホウ</t>
    </rPh>
    <rPh sb="23" eb="24">
      <t>トモ</t>
    </rPh>
    <phoneticPr fontId="2"/>
  </si>
  <si>
    <t>処理施設被災状況の収集</t>
    <rPh sb="0" eb="4">
      <t>ショリシセツ</t>
    </rPh>
    <rPh sb="4" eb="8">
      <t>ヒサイジョウキョウ</t>
    </rPh>
    <rPh sb="9" eb="11">
      <t>シュウシュウ</t>
    </rPh>
    <phoneticPr fontId="2"/>
  </si>
  <si>
    <t>焼却施設、最終処分場、し尿処理施設、市町村設置浄化槽</t>
    <rPh sb="0" eb="4">
      <t>ショウキャクシセツ</t>
    </rPh>
    <rPh sb="5" eb="10">
      <t>サイシュウショブンジョウ</t>
    </rPh>
    <rPh sb="12" eb="17">
      <t>ニョウショリシセツ</t>
    </rPh>
    <rPh sb="18" eb="23">
      <t>シチョウソンセッチ</t>
    </rPh>
    <rPh sb="23" eb="26">
      <t>ジョウカソウ</t>
    </rPh>
    <phoneticPr fontId="2"/>
  </si>
  <si>
    <t>備考</t>
    <rPh sb="0" eb="2">
      <t>ビコウ</t>
    </rPh>
    <phoneticPr fontId="2"/>
  </si>
  <si>
    <t>情報収集グループ</t>
    <rPh sb="0" eb="2">
      <t>ジョウホウ</t>
    </rPh>
    <rPh sb="2" eb="4">
      <t>シュウシュウ</t>
    </rPh>
    <phoneticPr fontId="2"/>
  </si>
  <si>
    <t>各Ｇ配置</t>
    <rPh sb="0" eb="1">
      <t>カク</t>
    </rPh>
    <rPh sb="2" eb="4">
      <t>ハイチ</t>
    </rPh>
    <phoneticPr fontId="2"/>
  </si>
  <si>
    <t>企画調整グループ</t>
    <rPh sb="0" eb="4">
      <t>キカクチョウセイ</t>
    </rPh>
    <phoneticPr fontId="2"/>
  </si>
  <si>
    <t>情報収集グループ</t>
    <rPh sb="0" eb="4">
      <t>ジョウホウシュウシュウ</t>
    </rPh>
    <phoneticPr fontId="2"/>
  </si>
  <si>
    <t>生活系ごみグループ</t>
    <rPh sb="0" eb="3">
      <t>セイカツケイ</t>
    </rPh>
    <phoneticPr fontId="2"/>
  </si>
  <si>
    <t>災害廃棄物グループ</t>
    <rPh sb="0" eb="5">
      <t>サイガイハイキブツ</t>
    </rPh>
    <phoneticPr fontId="2"/>
  </si>
  <si>
    <t>仮置場グループ</t>
    <rPh sb="0" eb="3">
      <t>カリオキバ</t>
    </rPh>
    <phoneticPr fontId="2"/>
  </si>
  <si>
    <t>契約グループ</t>
    <rPh sb="0" eb="2">
      <t>ケイヤク</t>
    </rPh>
    <phoneticPr fontId="2"/>
  </si>
  <si>
    <t>公費解体グループ</t>
    <rPh sb="0" eb="2">
      <t>コウヒ</t>
    </rPh>
    <rPh sb="2" eb="4">
      <t>カイタイ</t>
    </rPh>
    <phoneticPr fontId="2"/>
  </si>
  <si>
    <t>グループ名</t>
    <rPh sb="4" eb="5">
      <t>メイ</t>
    </rPh>
    <phoneticPr fontId="2"/>
  </si>
  <si>
    <t>構成メンバー</t>
    <rPh sb="0" eb="2">
      <t>コウセイ</t>
    </rPh>
    <phoneticPr fontId="2"/>
  </si>
  <si>
    <t>避難者数、避難場所を情報収集Ｇから入手</t>
    <rPh sb="0" eb="4">
      <t>ヒナンシャスウ</t>
    </rPh>
    <rPh sb="5" eb="9">
      <t>ヒナンバショ</t>
    </rPh>
    <rPh sb="10" eb="12">
      <t>ジョウホウ</t>
    </rPh>
    <rPh sb="12" eb="14">
      <t>シュウシュウ</t>
    </rPh>
    <rPh sb="17" eb="19">
      <t>ニュウシュ</t>
    </rPh>
    <phoneticPr fontId="2"/>
  </si>
  <si>
    <t>被災棟数、避難者数、上下水道</t>
    <rPh sb="0" eb="4">
      <t>ヒサイトウスウ</t>
    </rPh>
    <rPh sb="5" eb="9">
      <t>ヒナンシャスウ</t>
    </rPh>
    <rPh sb="10" eb="14">
      <t>ジョウゲスイドウ</t>
    </rPh>
    <phoneticPr fontId="2"/>
  </si>
  <si>
    <t>停電情報入手</t>
    <rPh sb="0" eb="4">
      <t>テイデンジョウホウ</t>
    </rPh>
    <rPh sb="4" eb="6">
      <t>ニュウシュ</t>
    </rPh>
    <phoneticPr fontId="2"/>
  </si>
  <si>
    <t>上下水道被災状況の収集</t>
    <rPh sb="0" eb="4">
      <t>ジョウゲスイドウ</t>
    </rPh>
    <rPh sb="4" eb="8">
      <t>ヒサイジョウキョウ</t>
    </rPh>
    <rPh sb="9" eb="11">
      <t>シュウシュウ</t>
    </rPh>
    <phoneticPr fontId="2"/>
  </si>
  <si>
    <t>停電情報の収集</t>
    <rPh sb="0" eb="4">
      <t>テイデンジョウホウ</t>
    </rPh>
    <rPh sb="5" eb="7">
      <t>シュウシュウ</t>
    </rPh>
    <phoneticPr fontId="2"/>
  </si>
  <si>
    <t>ほくでんネットワーク</t>
    <phoneticPr fontId="2"/>
  </si>
  <si>
    <t>停電情報</t>
    <rPh sb="0" eb="4">
      <t>テイデンジョウホウ</t>
    </rPh>
    <phoneticPr fontId="2"/>
  </si>
  <si>
    <t>上下水道被災状況を情報収集Ｇから入手</t>
    <rPh sb="0" eb="4">
      <t>ジョウゲスイドウ</t>
    </rPh>
    <rPh sb="4" eb="6">
      <t>ヒサイ</t>
    </rPh>
    <rPh sb="6" eb="8">
      <t>ジョウキョウ</t>
    </rPh>
    <rPh sb="9" eb="11">
      <t>ジョウホウ</t>
    </rPh>
    <rPh sb="11" eb="13">
      <t>シュウシュウ</t>
    </rPh>
    <rPh sb="16" eb="18">
      <t>ニュウシュ</t>
    </rPh>
    <phoneticPr fontId="2"/>
  </si>
  <si>
    <t>停電情報を情報収集Ｇから入手</t>
    <rPh sb="0" eb="4">
      <t>テイデンジョウホウ</t>
    </rPh>
    <phoneticPr fontId="2"/>
  </si>
  <si>
    <t>a</t>
    <phoneticPr fontId="18"/>
  </si>
  <si>
    <t>避難者数(人)</t>
    <rPh sb="0" eb="3">
      <t>ヒナンシャ</t>
    </rPh>
    <rPh sb="3" eb="4">
      <t>スウ</t>
    </rPh>
    <phoneticPr fontId="20"/>
  </si>
  <si>
    <t>総人口(人)</t>
    <rPh sb="0" eb="3">
      <t>ソウジンコウ</t>
    </rPh>
    <rPh sb="4" eb="5">
      <t>ニン</t>
    </rPh>
    <phoneticPr fontId="18"/>
  </si>
  <si>
    <t>総世帯数(世帯)</t>
    <rPh sb="0" eb="1">
      <t>ソウ</t>
    </rPh>
    <rPh sb="1" eb="4">
      <t>セタイスウ</t>
    </rPh>
    <rPh sb="5" eb="7">
      <t>セタイ</t>
    </rPh>
    <phoneticPr fontId="18"/>
  </si>
  <si>
    <t>水洗化人口(人)</t>
    <rPh sb="0" eb="3">
      <t>スイセンカ</t>
    </rPh>
    <rPh sb="3" eb="5">
      <t>ジンコウ</t>
    </rPh>
    <phoneticPr fontId="18"/>
  </si>
  <si>
    <t>汲取人口(人)</t>
    <rPh sb="0" eb="2">
      <t>クミト</t>
    </rPh>
    <rPh sb="2" eb="4">
      <t>ジンコウ</t>
    </rPh>
    <phoneticPr fontId="18"/>
  </si>
  <si>
    <t>断水世帯数(世帯)</t>
    <rPh sb="0" eb="2">
      <t>ダンスイ</t>
    </rPh>
    <rPh sb="2" eb="5">
      <t>セタイスウ</t>
    </rPh>
    <phoneticPr fontId="18"/>
  </si>
  <si>
    <t>し尿発生原単位他</t>
    <rPh sb="1" eb="2">
      <t>ニョウ</t>
    </rPh>
    <rPh sb="2" eb="4">
      <t>ハッセイ</t>
    </rPh>
    <rPh sb="4" eb="7">
      <t>ゲンタンイ</t>
    </rPh>
    <rPh sb="7" eb="8">
      <t>ホカ</t>
    </rPh>
    <phoneticPr fontId="19"/>
  </si>
  <si>
    <t>項目</t>
    <rPh sb="0" eb="2">
      <t>コウモク</t>
    </rPh>
    <phoneticPr fontId="18"/>
  </si>
  <si>
    <t>原単位</t>
    <rPh sb="0" eb="3">
      <t>ゲンタンイ</t>
    </rPh>
    <phoneticPr fontId="18"/>
  </si>
  <si>
    <t>し尿排出量（L/人・日）</t>
    <rPh sb="1" eb="2">
      <t>ニョウ</t>
    </rPh>
    <rPh sb="2" eb="4">
      <t>ハイシュツ</t>
    </rPh>
    <rPh sb="4" eb="5">
      <t>リョウ</t>
    </rPh>
    <phoneticPr fontId="19"/>
  </si>
  <si>
    <t>し尿収集間隔日数（日）</t>
    <rPh sb="1" eb="2">
      <t>ニョウ</t>
    </rPh>
    <rPh sb="2" eb="4">
      <t>シュウシュウ</t>
    </rPh>
    <rPh sb="4" eb="6">
      <t>カンカク</t>
    </rPh>
    <rPh sb="6" eb="8">
      <t>ニッスウ</t>
    </rPh>
    <phoneticPr fontId="19"/>
  </si>
  <si>
    <t>仮設トイレの平均的容量（L）</t>
    <rPh sb="0" eb="2">
      <t>カセツ</t>
    </rPh>
    <rPh sb="6" eb="9">
      <t>ヘイキンテキ</t>
    </rPh>
    <rPh sb="9" eb="11">
      <t>ヨウリョウ</t>
    </rPh>
    <phoneticPr fontId="19"/>
  </si>
  <si>
    <t>し尿必要収集量及び仮設トイレ必要基数</t>
    <rPh sb="1" eb="2">
      <t>ニョウ</t>
    </rPh>
    <rPh sb="2" eb="4">
      <t>ヒツヨウ</t>
    </rPh>
    <rPh sb="4" eb="6">
      <t>シュウシュウ</t>
    </rPh>
    <rPh sb="6" eb="7">
      <t>リョウ</t>
    </rPh>
    <rPh sb="7" eb="8">
      <t>オヨ</t>
    </rPh>
    <rPh sb="9" eb="11">
      <t>カセツ</t>
    </rPh>
    <rPh sb="14" eb="16">
      <t>ヒツヨウ</t>
    </rPh>
    <rPh sb="16" eb="18">
      <t>キスウ</t>
    </rPh>
    <phoneticPr fontId="19"/>
  </si>
  <si>
    <t>上水道支障率(%)</t>
    <rPh sb="0" eb="3">
      <t>ジョウスイドウ</t>
    </rPh>
    <rPh sb="3" eb="5">
      <t>シショウ</t>
    </rPh>
    <rPh sb="5" eb="6">
      <t>リツ</t>
    </rPh>
    <phoneticPr fontId="19"/>
  </si>
  <si>
    <t>避難所における仮設トイレ必要人数</t>
    <rPh sb="0" eb="3">
      <t>ヒナンジョ</t>
    </rPh>
    <rPh sb="7" eb="9">
      <t>カセツ</t>
    </rPh>
    <rPh sb="12" eb="14">
      <t>ヒツヨウ</t>
    </rPh>
    <rPh sb="14" eb="15">
      <t>ニン</t>
    </rPh>
    <rPh sb="15" eb="16">
      <t>スウ</t>
    </rPh>
    <phoneticPr fontId="19"/>
  </si>
  <si>
    <t>断水による仮設トイレ必要人数</t>
    <rPh sb="0" eb="2">
      <t>ダンスイ</t>
    </rPh>
    <rPh sb="5" eb="7">
      <t>カセツ</t>
    </rPh>
    <rPh sb="10" eb="12">
      <t>ヒツヨウ</t>
    </rPh>
    <rPh sb="12" eb="13">
      <t>ニン</t>
    </rPh>
    <rPh sb="13" eb="14">
      <t>スウ</t>
    </rPh>
    <phoneticPr fontId="19"/>
  </si>
  <si>
    <t>非水洗化区域し尿収集人口</t>
    <rPh sb="0" eb="1">
      <t>ヒ</t>
    </rPh>
    <rPh sb="1" eb="4">
      <t>スイセンカ</t>
    </rPh>
    <rPh sb="4" eb="6">
      <t>クイキ</t>
    </rPh>
    <rPh sb="7" eb="8">
      <t>ニョウ</t>
    </rPh>
    <rPh sb="8" eb="10">
      <t>シュウシュウ</t>
    </rPh>
    <rPh sb="10" eb="12">
      <t>ジンコウ</t>
    </rPh>
    <phoneticPr fontId="18"/>
  </si>
  <si>
    <t>仮設トイレ必要人数(人)</t>
    <rPh sb="0" eb="2">
      <t>カセツ</t>
    </rPh>
    <rPh sb="5" eb="7">
      <t>ヒツヨウ</t>
    </rPh>
    <rPh sb="7" eb="9">
      <t>ニンズウ</t>
    </rPh>
    <rPh sb="10" eb="11">
      <t>ニン</t>
    </rPh>
    <phoneticPr fontId="19"/>
  </si>
  <si>
    <t>仮設トイレ必要基数（基)</t>
    <rPh sb="0" eb="2">
      <t>カセツ</t>
    </rPh>
    <rPh sb="5" eb="9">
      <t>ヒツヨウキスウ</t>
    </rPh>
    <rPh sb="10" eb="11">
      <t>キ</t>
    </rPh>
    <phoneticPr fontId="19"/>
  </si>
  <si>
    <t>し尿処理可能量</t>
    <rPh sb="1" eb="2">
      <t>ニョウ</t>
    </rPh>
    <rPh sb="2" eb="7">
      <t>ショリカノウリョウ</t>
    </rPh>
    <phoneticPr fontId="18"/>
  </si>
  <si>
    <t>避難所ごみ発生量</t>
    <phoneticPr fontId="19"/>
  </si>
  <si>
    <t>1人1日当たりのごみ
総排出量（g/人・日）</t>
    <rPh sb="1" eb="2">
      <t>ヒト</t>
    </rPh>
    <rPh sb="3" eb="4">
      <t>ニチ</t>
    </rPh>
    <rPh sb="4" eb="5">
      <t>ア</t>
    </rPh>
    <rPh sb="11" eb="12">
      <t>ソウ</t>
    </rPh>
    <rPh sb="12" eb="15">
      <t>ハイシュツリョウ</t>
    </rPh>
    <rPh sb="18" eb="19">
      <t>ヒト</t>
    </rPh>
    <rPh sb="20" eb="21">
      <t>ニチ</t>
    </rPh>
    <phoneticPr fontId="18"/>
  </si>
  <si>
    <t>避難所ごみ発生量（t/日）</t>
  </si>
  <si>
    <t>避難所ごみ発生量を推計</t>
    <rPh sb="0" eb="3">
      <t>ヒナンショ</t>
    </rPh>
    <rPh sb="5" eb="8">
      <t>ハッセイリョウ</t>
    </rPh>
    <rPh sb="9" eb="11">
      <t>スイケイ</t>
    </rPh>
    <phoneticPr fontId="2"/>
  </si>
  <si>
    <t>仮設トイレ必要基数とし尿発生量を推計</t>
    <rPh sb="0" eb="2">
      <t>カセツ</t>
    </rPh>
    <rPh sb="5" eb="7">
      <t>ヒツヨウ</t>
    </rPh>
    <rPh sb="7" eb="9">
      <t>キスウ</t>
    </rPh>
    <rPh sb="11" eb="12">
      <t>ニョウ</t>
    </rPh>
    <rPh sb="12" eb="15">
      <t>ハッセイリョウ</t>
    </rPh>
    <rPh sb="16" eb="18">
      <t>スイケイ</t>
    </rPh>
    <phoneticPr fontId="2"/>
  </si>
  <si>
    <t>必要数‐事前準備数</t>
    <rPh sb="0" eb="3">
      <t>ヒツヨウスウ</t>
    </rPh>
    <rPh sb="4" eb="9">
      <t>ジゼンジュンビスウ</t>
    </rPh>
    <phoneticPr fontId="2"/>
  </si>
  <si>
    <t>　仮設トイレの不足数計算</t>
    <rPh sb="1" eb="3">
      <t>カセツ</t>
    </rPh>
    <rPh sb="7" eb="10">
      <t>フソクスウ</t>
    </rPh>
    <rPh sb="10" eb="12">
      <t>ケイサン</t>
    </rPh>
    <phoneticPr fontId="2"/>
  </si>
  <si>
    <t>　仮設トイレのリース</t>
    <rPh sb="1" eb="3">
      <t>カセツ</t>
    </rPh>
    <phoneticPr fontId="2"/>
  </si>
  <si>
    <t>協定確認</t>
    <rPh sb="0" eb="2">
      <t>キョウテイ</t>
    </rPh>
    <rPh sb="2" eb="4">
      <t>カクニン</t>
    </rPh>
    <phoneticPr fontId="2"/>
  </si>
  <si>
    <t>し尿処理能力の不足計算</t>
    <rPh sb="1" eb="6">
      <t>ニョウショリノウリョク</t>
    </rPh>
    <rPh sb="7" eb="9">
      <t>フソク</t>
    </rPh>
    <rPh sb="9" eb="11">
      <t>ケイサン</t>
    </rPh>
    <phoneticPr fontId="2"/>
  </si>
  <si>
    <t>発生量‐処理能力</t>
    <rPh sb="0" eb="3">
      <t>ハッセイリョウ</t>
    </rPh>
    <rPh sb="4" eb="8">
      <t>ショリノウリョク</t>
    </rPh>
    <phoneticPr fontId="2"/>
  </si>
  <si>
    <t>ごみ処理施設、し尿処理施設の被災状況を情報収集Ｇから入手</t>
    <rPh sb="2" eb="6">
      <t>ショリシセツ</t>
    </rPh>
    <rPh sb="8" eb="13">
      <t>ニョウショリシセツ</t>
    </rPh>
    <rPh sb="14" eb="18">
      <t>ヒサイジョウキョウ</t>
    </rPh>
    <rPh sb="19" eb="21">
      <t>ジョウホウ</t>
    </rPh>
    <rPh sb="21" eb="23">
      <t>シュウシュウ</t>
    </rPh>
    <rPh sb="26" eb="28">
      <t>ニュウシュ</t>
    </rPh>
    <phoneticPr fontId="2"/>
  </si>
  <si>
    <t>　し尿処理先の確保</t>
    <rPh sb="2" eb="5">
      <t>ニョウショリ</t>
    </rPh>
    <rPh sb="5" eb="6">
      <t>サキ</t>
    </rPh>
    <rPh sb="7" eb="9">
      <t>カクホ</t>
    </rPh>
    <phoneticPr fontId="2"/>
  </si>
  <si>
    <t>パッカー車、バキューム車の被災状況を情報収集Ｇから入手</t>
    <rPh sb="4" eb="5">
      <t>シャ</t>
    </rPh>
    <rPh sb="11" eb="12">
      <t>シャ</t>
    </rPh>
    <rPh sb="13" eb="17">
      <t>ヒサイジョウキョウ</t>
    </rPh>
    <rPh sb="18" eb="20">
      <t>ジョウホウ</t>
    </rPh>
    <rPh sb="20" eb="22">
      <t>シュウシュウ</t>
    </rPh>
    <rPh sb="25" eb="27">
      <t>ニュウシュ</t>
    </rPh>
    <phoneticPr fontId="2"/>
  </si>
  <si>
    <t>バキューム車不足数の計算</t>
    <rPh sb="5" eb="6">
      <t>シャ</t>
    </rPh>
    <rPh sb="6" eb="9">
      <t>フソクスウ</t>
    </rPh>
    <rPh sb="10" eb="12">
      <t>ケイサン</t>
    </rPh>
    <phoneticPr fontId="2"/>
  </si>
  <si>
    <t>　バキューム車の確保</t>
    <rPh sb="6" eb="7">
      <t>シャ</t>
    </rPh>
    <rPh sb="8" eb="10">
      <t>カクホ</t>
    </rPh>
    <phoneticPr fontId="2"/>
  </si>
  <si>
    <t>　ごみ処理能力の不足の確認</t>
    <rPh sb="3" eb="7">
      <t>ショリノウリョク</t>
    </rPh>
    <rPh sb="8" eb="10">
      <t>フソク</t>
    </rPh>
    <rPh sb="11" eb="13">
      <t>カクニン</t>
    </rPh>
    <phoneticPr fontId="2"/>
  </si>
  <si>
    <t>　処理先の確保</t>
    <rPh sb="1" eb="4">
      <t>ショリサキ</t>
    </rPh>
    <rPh sb="5" eb="7">
      <t>カクホ</t>
    </rPh>
    <phoneticPr fontId="2"/>
  </si>
  <si>
    <t>別タブ</t>
    <rPh sb="0" eb="1">
      <t>ベツ</t>
    </rPh>
    <phoneticPr fontId="2"/>
  </si>
  <si>
    <t>バキューム車の台数</t>
    <rPh sb="5" eb="6">
      <t>シャ</t>
    </rPh>
    <rPh sb="7" eb="9">
      <t>ダイスウ</t>
    </rPh>
    <phoneticPr fontId="2"/>
  </si>
  <si>
    <t>不足台数</t>
    <rPh sb="0" eb="4">
      <t>フソクダイスウ</t>
    </rPh>
    <phoneticPr fontId="2"/>
  </si>
  <si>
    <t>バキューム車の積載可能積算量（L)</t>
    <rPh sb="5" eb="6">
      <t>シャ</t>
    </rPh>
    <rPh sb="7" eb="9">
      <t>セキサイ</t>
    </rPh>
    <rPh sb="9" eb="11">
      <t>カノウ</t>
    </rPh>
    <rPh sb="11" eb="13">
      <t>セキサン</t>
    </rPh>
    <rPh sb="13" eb="14">
      <t>リョウ</t>
    </rPh>
    <phoneticPr fontId="2"/>
  </si>
  <si>
    <t>焼却（中間処理）能力（ｔ/日）</t>
    <rPh sb="0" eb="2">
      <t>ショウキャク</t>
    </rPh>
    <rPh sb="3" eb="7">
      <t>チュウカンショリ</t>
    </rPh>
    <rPh sb="8" eb="10">
      <t>ノウリョク</t>
    </rPh>
    <rPh sb="13" eb="14">
      <t>ニチ</t>
    </rPh>
    <phoneticPr fontId="2"/>
  </si>
  <si>
    <t>処理能力(kL/日)</t>
    <rPh sb="0" eb="4">
      <t>ショリノウリョク</t>
    </rPh>
    <rPh sb="8" eb="9">
      <t>ニチ</t>
    </rPh>
    <phoneticPr fontId="18"/>
  </si>
  <si>
    <t>処理実績(kL/日)</t>
    <rPh sb="0" eb="2">
      <t>ショリ</t>
    </rPh>
    <rPh sb="2" eb="4">
      <t>ジッセキ</t>
    </rPh>
    <phoneticPr fontId="18"/>
  </si>
  <si>
    <t>自市町村処理実績(kL/日)</t>
    <rPh sb="0" eb="4">
      <t>ジシチョウソン</t>
    </rPh>
    <rPh sb="4" eb="6">
      <t>ショリ</t>
    </rPh>
    <rPh sb="6" eb="8">
      <t>ジッセキ</t>
    </rPh>
    <phoneticPr fontId="18"/>
  </si>
  <si>
    <t>処理能力不足分（ｔ/日）</t>
    <rPh sb="0" eb="7">
      <t>ショリノウリョクフソクブン</t>
    </rPh>
    <phoneticPr fontId="2"/>
  </si>
  <si>
    <t>　　〃　　組合処理（ｔ/日）</t>
    <rPh sb="5" eb="9">
      <t>クミアイショリ</t>
    </rPh>
    <rPh sb="12" eb="13">
      <t>ニチ</t>
    </rPh>
    <phoneticPr fontId="2"/>
  </si>
  <si>
    <t>パッカー車の台数</t>
    <rPh sb="4" eb="5">
      <t>シャ</t>
    </rPh>
    <rPh sb="6" eb="8">
      <t>ダイスウ</t>
    </rPh>
    <phoneticPr fontId="2"/>
  </si>
  <si>
    <t>パッカー車の積載可能積算量（ｔ）</t>
    <rPh sb="4" eb="5">
      <t>シャ</t>
    </rPh>
    <rPh sb="6" eb="10">
      <t>セキサイカノウ</t>
    </rPh>
    <rPh sb="10" eb="13">
      <t>セキサンリョウ</t>
    </rPh>
    <phoneticPr fontId="2"/>
  </si>
  <si>
    <t>平常時バキューム車使用量（L）</t>
    <rPh sb="0" eb="3">
      <t>ヘイジョウジ</t>
    </rPh>
    <rPh sb="8" eb="9">
      <t>シャ</t>
    </rPh>
    <rPh sb="9" eb="11">
      <t>シヨウ</t>
    </rPh>
    <rPh sb="11" eb="12">
      <t>リョウ</t>
    </rPh>
    <phoneticPr fontId="2"/>
  </si>
  <si>
    <t>バキューム車余力（L）</t>
    <rPh sb="5" eb="6">
      <t>シャ</t>
    </rPh>
    <rPh sb="6" eb="8">
      <t>ヨリョク</t>
    </rPh>
    <phoneticPr fontId="2"/>
  </si>
  <si>
    <t>平常時パッカー車使用量（ｔ）</t>
    <rPh sb="0" eb="3">
      <t>ヘイジョウジ</t>
    </rPh>
    <rPh sb="7" eb="8">
      <t>シャ</t>
    </rPh>
    <rPh sb="8" eb="11">
      <t>シヨウリョウ</t>
    </rPh>
    <phoneticPr fontId="2"/>
  </si>
  <si>
    <t>パッカー車余力（ｔ）</t>
    <rPh sb="4" eb="5">
      <t>シャ</t>
    </rPh>
    <rPh sb="5" eb="7">
      <t>ヨリョク</t>
    </rPh>
    <phoneticPr fontId="2"/>
  </si>
  <si>
    <t>パッカー車不足数の計算</t>
    <rPh sb="4" eb="5">
      <t>シャ</t>
    </rPh>
    <rPh sb="5" eb="7">
      <t>フソク</t>
    </rPh>
    <rPh sb="7" eb="8">
      <t>スウ</t>
    </rPh>
    <rPh sb="9" eb="11">
      <t>ケイサン</t>
    </rPh>
    <phoneticPr fontId="2"/>
  </si>
  <si>
    <t>　パッカー車の確保</t>
    <rPh sb="5" eb="6">
      <t>シャ</t>
    </rPh>
    <rPh sb="7" eb="9">
      <t>カクホ</t>
    </rPh>
    <phoneticPr fontId="2"/>
  </si>
  <si>
    <t>し尿処理計画（案）の作成提出</t>
    <rPh sb="1" eb="6">
      <t>ニョウショリケイカク</t>
    </rPh>
    <rPh sb="7" eb="8">
      <t>アン</t>
    </rPh>
    <rPh sb="10" eb="12">
      <t>サクセイ</t>
    </rPh>
    <rPh sb="12" eb="14">
      <t>テイシュツ</t>
    </rPh>
    <phoneticPr fontId="2"/>
  </si>
  <si>
    <t>通行止め考慮</t>
    <rPh sb="0" eb="3">
      <t>ツウコウド</t>
    </rPh>
    <rPh sb="4" eb="6">
      <t>コウリョ</t>
    </rPh>
    <phoneticPr fontId="2"/>
  </si>
  <si>
    <t>被災棟数を情報収集Ｇから入手</t>
    <rPh sb="0" eb="4">
      <t>ヒサイトウスウ</t>
    </rPh>
    <rPh sb="5" eb="7">
      <t>ジョウホウ</t>
    </rPh>
    <rPh sb="7" eb="9">
      <t>シュウシュウ</t>
    </rPh>
    <rPh sb="12" eb="14">
      <t>ニュウシュ</t>
    </rPh>
    <phoneticPr fontId="2"/>
  </si>
  <si>
    <t>ごみ処理施設の被災状況を情報収集Ｇから入手</t>
    <rPh sb="2" eb="6">
      <t>ショリシセツ</t>
    </rPh>
    <rPh sb="7" eb="11">
      <t>ヒサイジョウキョウ</t>
    </rPh>
    <rPh sb="12" eb="14">
      <t>ジョウホウ</t>
    </rPh>
    <rPh sb="14" eb="16">
      <t>シュウシュウ</t>
    </rPh>
    <rPh sb="19" eb="21">
      <t>ニュウシュ</t>
    </rPh>
    <phoneticPr fontId="2"/>
  </si>
  <si>
    <t>市町村内有害物質使用等事業場の被災状況確認</t>
    <rPh sb="0" eb="4">
      <t>シチョウソンナイ</t>
    </rPh>
    <rPh sb="4" eb="6">
      <t>ユウガイ</t>
    </rPh>
    <rPh sb="6" eb="8">
      <t>ブッシツ</t>
    </rPh>
    <rPh sb="8" eb="10">
      <t>シヨウ</t>
    </rPh>
    <rPh sb="10" eb="11">
      <t>トウ</t>
    </rPh>
    <rPh sb="11" eb="14">
      <t>ジギョウジョウ</t>
    </rPh>
    <rPh sb="15" eb="19">
      <t>ヒサイジョウキョウ</t>
    </rPh>
    <rPh sb="19" eb="21">
      <t>カクニン</t>
    </rPh>
    <phoneticPr fontId="2"/>
  </si>
  <si>
    <t>PRTR法届出、PCB保管事業場、アスベスト台帳など</t>
    <rPh sb="4" eb="5">
      <t>ホウ</t>
    </rPh>
    <rPh sb="5" eb="7">
      <t>トドケデ</t>
    </rPh>
    <rPh sb="11" eb="16">
      <t>ホカンジギョウジョウ</t>
    </rPh>
    <rPh sb="22" eb="24">
      <t>ダイチョウ</t>
    </rPh>
    <phoneticPr fontId="2"/>
  </si>
  <si>
    <t>食品工場、冷凍・冷蔵庫の被災状況確認</t>
    <rPh sb="0" eb="4">
      <t>ショクヒンコウジョウ</t>
    </rPh>
    <rPh sb="5" eb="7">
      <t>レイトウ</t>
    </rPh>
    <rPh sb="8" eb="11">
      <t>レイゾウコ</t>
    </rPh>
    <rPh sb="12" eb="16">
      <t>ヒサイジョウキョウ</t>
    </rPh>
    <rPh sb="16" eb="18">
      <t>カクニン</t>
    </rPh>
    <phoneticPr fontId="2"/>
  </si>
  <si>
    <t>停電の状況を情報収集Ｇから入手</t>
    <rPh sb="0" eb="2">
      <t>テイデン</t>
    </rPh>
    <rPh sb="3" eb="5">
      <t>ジョウキョウ</t>
    </rPh>
    <phoneticPr fontId="2"/>
  </si>
  <si>
    <t>有害物質・腐敗性廃棄物処理計画（案）の作成提出</t>
    <rPh sb="0" eb="4">
      <t>ユウガイブッシツ</t>
    </rPh>
    <rPh sb="5" eb="8">
      <t>フハイセイ</t>
    </rPh>
    <rPh sb="8" eb="15">
      <t>ハイキブツショリケイカク</t>
    </rPh>
    <rPh sb="16" eb="17">
      <t>アン</t>
    </rPh>
    <rPh sb="19" eb="21">
      <t>サクセイ</t>
    </rPh>
    <rPh sb="21" eb="23">
      <t>テイシュツ</t>
    </rPh>
    <phoneticPr fontId="2"/>
  </si>
  <si>
    <t>有害物質の流出、腐敗性廃棄物の大量発生が認められる場合</t>
    <rPh sb="0" eb="4">
      <t>ユウガイブッシツ</t>
    </rPh>
    <rPh sb="5" eb="7">
      <t>リュウシュツ</t>
    </rPh>
    <rPh sb="8" eb="11">
      <t>フハイセイ</t>
    </rPh>
    <rPh sb="11" eb="14">
      <t>ハイキブツ</t>
    </rPh>
    <rPh sb="15" eb="17">
      <t>タイリョウ</t>
    </rPh>
    <rPh sb="17" eb="19">
      <t>ハッセイ</t>
    </rPh>
    <rPh sb="20" eb="21">
      <t>ミト</t>
    </rPh>
    <rPh sb="25" eb="27">
      <t>バアイ</t>
    </rPh>
    <phoneticPr fontId="2"/>
  </si>
  <si>
    <t>災害廃棄物発生量を推計</t>
    <rPh sb="0" eb="5">
      <t>サイガイハイキブツ</t>
    </rPh>
    <rPh sb="5" eb="8">
      <t>ハッセイリョウ</t>
    </rPh>
    <rPh sb="9" eb="11">
      <t>スイケイ</t>
    </rPh>
    <phoneticPr fontId="2"/>
  </si>
  <si>
    <t>災害廃棄物種類</t>
    <rPh sb="0" eb="2">
      <t>サイガイ</t>
    </rPh>
    <rPh sb="2" eb="5">
      <t>ハイキブツ</t>
    </rPh>
    <rPh sb="5" eb="7">
      <t>シュルイ</t>
    </rPh>
    <phoneticPr fontId="18"/>
  </si>
  <si>
    <t>柱角材</t>
  </si>
  <si>
    <t>可燃物</t>
  </si>
  <si>
    <t>不燃物</t>
  </si>
  <si>
    <t>コンクリートがら</t>
  </si>
  <si>
    <t>金属くず</t>
    <phoneticPr fontId="18"/>
  </si>
  <si>
    <t>その他</t>
    <rPh sb="2" eb="3">
      <t>タ</t>
    </rPh>
    <phoneticPr fontId="18"/>
  </si>
  <si>
    <t>世帯</t>
    <rPh sb="0" eb="2">
      <t>セタイ</t>
    </rPh>
    <phoneticPr fontId="18"/>
  </si>
  <si>
    <t>m2</t>
    <phoneticPr fontId="18"/>
  </si>
  <si>
    <t>ｔ</t>
    <phoneticPr fontId="18"/>
  </si>
  <si>
    <t>柱角材</t>
    <phoneticPr fontId="19"/>
  </si>
  <si>
    <t>可燃物</t>
    <rPh sb="0" eb="3">
      <t>カネンブツ</t>
    </rPh>
    <phoneticPr fontId="19"/>
  </si>
  <si>
    <t>不燃物</t>
    <rPh sb="0" eb="3">
      <t>フネンブツ</t>
    </rPh>
    <phoneticPr fontId="19"/>
  </si>
  <si>
    <t>コンクリートがら</t>
    <phoneticPr fontId="19"/>
  </si>
  <si>
    <t>金属くず</t>
    <phoneticPr fontId="19"/>
  </si>
  <si>
    <t>その他</t>
    <rPh sb="2" eb="3">
      <t>タ</t>
    </rPh>
    <phoneticPr fontId="19"/>
  </si>
  <si>
    <t>合計</t>
    <rPh sb="0" eb="2">
      <t>ゴウケイ</t>
    </rPh>
    <phoneticPr fontId="19"/>
  </si>
  <si>
    <t>浸水</t>
    <rPh sb="0" eb="2">
      <t>シンスイ</t>
    </rPh>
    <phoneticPr fontId="19"/>
  </si>
  <si>
    <t>a1</t>
    <phoneticPr fontId="18"/>
  </si>
  <si>
    <t>a2</t>
    <phoneticPr fontId="18"/>
  </si>
  <si>
    <t>b1</t>
    <phoneticPr fontId="18"/>
  </si>
  <si>
    <t>b2</t>
    <phoneticPr fontId="18"/>
  </si>
  <si>
    <t>土砂</t>
    <rPh sb="0" eb="2">
      <t>ドシャ</t>
    </rPh>
    <phoneticPr fontId="18"/>
  </si>
  <si>
    <t>棟</t>
    <rPh sb="0" eb="1">
      <t>トウ</t>
    </rPh>
    <phoneticPr fontId="18"/>
  </si>
  <si>
    <t>合計</t>
    <rPh sb="0" eb="2">
      <t>ゴウケイ</t>
    </rPh>
    <phoneticPr fontId="18"/>
  </si>
  <si>
    <t>別タブ</t>
    <rPh sb="0" eb="1">
      <t>ベツ</t>
    </rPh>
    <phoneticPr fontId="2"/>
  </si>
  <si>
    <t>発生量（ｔ）</t>
    <rPh sb="0" eb="3">
      <t>ハッセイリョウ</t>
    </rPh>
    <phoneticPr fontId="2"/>
  </si>
  <si>
    <t>以下計算式</t>
    <rPh sb="0" eb="2">
      <t>イカ</t>
    </rPh>
    <rPh sb="2" eb="5">
      <t>ケイサンシキ</t>
    </rPh>
    <phoneticPr fontId="2"/>
  </si>
  <si>
    <t>ダンプ必要数</t>
    <rPh sb="3" eb="6">
      <t>ヒツヨウスウ</t>
    </rPh>
    <phoneticPr fontId="2"/>
  </si>
  <si>
    <t>　ごみ処理能力の不足計算</t>
    <rPh sb="3" eb="5">
      <t>ショリ</t>
    </rPh>
    <rPh sb="5" eb="7">
      <t>ノウリョク</t>
    </rPh>
    <rPh sb="8" eb="12">
      <t>フソクケイサン</t>
    </rPh>
    <phoneticPr fontId="2"/>
  </si>
  <si>
    <t>　処理先の確保</t>
    <rPh sb="1" eb="4">
      <t>ショリサキ</t>
    </rPh>
    <rPh sb="5" eb="7">
      <t>カクホ</t>
    </rPh>
    <phoneticPr fontId="2"/>
  </si>
  <si>
    <t>協定確認</t>
    <rPh sb="0" eb="2">
      <t>キョウテイ</t>
    </rPh>
    <rPh sb="2" eb="4">
      <t>カクニン</t>
    </rPh>
    <phoneticPr fontId="2"/>
  </si>
  <si>
    <t>t/m3</t>
    <phoneticPr fontId="19"/>
  </si>
  <si>
    <t>作業スペース割合</t>
    <rPh sb="0" eb="2">
      <t>サギョウ</t>
    </rPh>
    <rPh sb="6" eb="8">
      <t>ワリアイ</t>
    </rPh>
    <phoneticPr fontId="19"/>
  </si>
  <si>
    <t>種類別発生量(t)</t>
    <rPh sb="0" eb="2">
      <t>シュルイ</t>
    </rPh>
    <rPh sb="2" eb="3">
      <t>ベツ</t>
    </rPh>
    <rPh sb="3" eb="5">
      <t>ハッセイ</t>
    </rPh>
    <rPh sb="5" eb="6">
      <t>リョウ</t>
    </rPh>
    <phoneticPr fontId="19"/>
  </si>
  <si>
    <t>仮置場の必要面積の計算</t>
    <rPh sb="0" eb="3">
      <t>カリオキバ</t>
    </rPh>
    <rPh sb="4" eb="8">
      <t>ヒツヨウメンセキ</t>
    </rPh>
    <rPh sb="9" eb="11">
      <t>ケイサン</t>
    </rPh>
    <phoneticPr fontId="2"/>
  </si>
  <si>
    <t>仮置場候補地の選定</t>
    <rPh sb="0" eb="3">
      <t>カリオキバ</t>
    </rPh>
    <rPh sb="3" eb="6">
      <t>コウホチ</t>
    </rPh>
    <rPh sb="7" eb="9">
      <t>センテイ</t>
    </rPh>
    <phoneticPr fontId="2"/>
  </si>
  <si>
    <t>仮置場利用方法の策定</t>
    <rPh sb="0" eb="3">
      <t>カリオキバ</t>
    </rPh>
    <rPh sb="3" eb="7">
      <t>リヨウホウホウ</t>
    </rPh>
    <rPh sb="8" eb="10">
      <t>サクテイ</t>
    </rPh>
    <phoneticPr fontId="2"/>
  </si>
  <si>
    <t>区分</t>
    <rPh sb="0" eb="2">
      <t>クブン</t>
    </rPh>
    <phoneticPr fontId="2"/>
  </si>
  <si>
    <t>し尿運搬可能量</t>
    <rPh sb="1" eb="2">
      <t>ニョウ</t>
    </rPh>
    <rPh sb="2" eb="4">
      <t>ウンパン</t>
    </rPh>
    <rPh sb="4" eb="7">
      <t>カノウリョウ</t>
    </rPh>
    <phoneticPr fontId="2"/>
  </si>
  <si>
    <t>生活系ごみ処理可能量</t>
    <rPh sb="0" eb="3">
      <t>セイカツケイ</t>
    </rPh>
    <rPh sb="5" eb="10">
      <t>ショリカノウリョウ</t>
    </rPh>
    <phoneticPr fontId="2"/>
  </si>
  <si>
    <t>生活系ごみ運搬可能量</t>
    <rPh sb="0" eb="3">
      <t>セイカツケイ</t>
    </rPh>
    <rPh sb="5" eb="10">
      <t>ウンパンカノウリョウ</t>
    </rPh>
    <phoneticPr fontId="2"/>
  </si>
  <si>
    <t>4t平ボディ換算</t>
    <rPh sb="2" eb="3">
      <t>ヒラ</t>
    </rPh>
    <rPh sb="6" eb="8">
      <t>カンサン</t>
    </rPh>
    <phoneticPr fontId="2"/>
  </si>
  <si>
    <t>搬入、分別、利用期間など</t>
    <rPh sb="0" eb="2">
      <t>ハンニュウ</t>
    </rPh>
    <rPh sb="3" eb="5">
      <t>ブンベツ</t>
    </rPh>
    <rPh sb="6" eb="10">
      <t>リヨウキカン</t>
    </rPh>
    <phoneticPr fontId="2"/>
  </si>
  <si>
    <t>収集方法の策定</t>
    <rPh sb="0" eb="2">
      <t>シュウシュウ</t>
    </rPh>
    <rPh sb="2" eb="4">
      <t>ホウホウ</t>
    </rPh>
    <rPh sb="5" eb="7">
      <t>サクテイ</t>
    </rPh>
    <phoneticPr fontId="2"/>
  </si>
  <si>
    <t>災害廃棄物処理計画確認</t>
    <rPh sb="0" eb="5">
      <t>サイガイハイキブツ</t>
    </rPh>
    <rPh sb="5" eb="9">
      <t>ショリケイカク</t>
    </rPh>
    <rPh sb="9" eb="11">
      <t>カクニン</t>
    </rPh>
    <phoneticPr fontId="2"/>
  </si>
  <si>
    <t>仮置場管理方法（委託先）の決定</t>
    <rPh sb="0" eb="3">
      <t>カリオキバ</t>
    </rPh>
    <rPh sb="3" eb="5">
      <t>カンリ</t>
    </rPh>
    <rPh sb="5" eb="7">
      <t>ホウホウ</t>
    </rPh>
    <rPh sb="8" eb="11">
      <t>イタクサキ</t>
    </rPh>
    <rPh sb="13" eb="15">
      <t>ケッテイ</t>
    </rPh>
    <phoneticPr fontId="2"/>
  </si>
  <si>
    <t>仮置場設置に必要な資機材の数及び調達先</t>
    <rPh sb="0" eb="3">
      <t>カリオキバ</t>
    </rPh>
    <rPh sb="3" eb="5">
      <t>セッチ</t>
    </rPh>
    <rPh sb="6" eb="8">
      <t>ヒツヨウ</t>
    </rPh>
    <rPh sb="9" eb="12">
      <t>シキザイ</t>
    </rPh>
    <rPh sb="13" eb="14">
      <t>スウ</t>
    </rPh>
    <rPh sb="14" eb="15">
      <t>オヨ</t>
    </rPh>
    <rPh sb="16" eb="19">
      <t>チョウタツサキ</t>
    </rPh>
    <phoneticPr fontId="2"/>
  </si>
  <si>
    <t>収集運搬、処分</t>
    <rPh sb="0" eb="2">
      <t>シュウシュウ</t>
    </rPh>
    <rPh sb="2" eb="4">
      <t>ウンパン</t>
    </rPh>
    <rPh sb="5" eb="7">
      <t>ショブン</t>
    </rPh>
    <phoneticPr fontId="2"/>
  </si>
  <si>
    <t>仮置場設置計画（案）作成提出</t>
    <rPh sb="0" eb="3">
      <t>カリオキバ</t>
    </rPh>
    <rPh sb="3" eb="5">
      <t>セッチ</t>
    </rPh>
    <rPh sb="5" eb="7">
      <t>ケイカク</t>
    </rPh>
    <rPh sb="8" eb="9">
      <t>アン</t>
    </rPh>
    <rPh sb="10" eb="12">
      <t>サクセイ</t>
    </rPh>
    <rPh sb="12" eb="14">
      <t>テイシュツ</t>
    </rPh>
    <phoneticPr fontId="2"/>
  </si>
  <si>
    <t>広報の依頼</t>
    <rPh sb="0" eb="2">
      <t>コウホウ</t>
    </rPh>
    <rPh sb="3" eb="5">
      <t>イライ</t>
    </rPh>
    <phoneticPr fontId="2"/>
  </si>
  <si>
    <t>補助金申請に必要な事項の指示（写真撮影など）</t>
    <rPh sb="0" eb="5">
      <t>ホジョキンシンセイ</t>
    </rPh>
    <rPh sb="6" eb="8">
      <t>ヒツヨウ</t>
    </rPh>
    <rPh sb="9" eb="11">
      <t>ジコウ</t>
    </rPh>
    <rPh sb="12" eb="14">
      <t>シジ</t>
    </rPh>
    <rPh sb="15" eb="17">
      <t>シャシン</t>
    </rPh>
    <rPh sb="17" eb="19">
      <t>サツエイ</t>
    </rPh>
    <phoneticPr fontId="2"/>
  </si>
  <si>
    <t>収集状況の現地確認</t>
    <rPh sb="0" eb="4">
      <t>シュウシュウジョウキョウ</t>
    </rPh>
    <rPh sb="5" eb="7">
      <t>ゲンチ</t>
    </rPh>
    <rPh sb="7" eb="9">
      <t>カクニン</t>
    </rPh>
    <phoneticPr fontId="2"/>
  </si>
  <si>
    <t>ごみステーション、避難場所</t>
    <rPh sb="9" eb="13">
      <t>ヒナンバショ</t>
    </rPh>
    <phoneticPr fontId="2"/>
  </si>
  <si>
    <t>家屋被災状況、片付けごみの発生状況や仮置場への回収状況の現地確認</t>
    <rPh sb="0" eb="2">
      <t>カオク</t>
    </rPh>
    <rPh sb="2" eb="6">
      <t>ヒサイジョウキョウ</t>
    </rPh>
    <rPh sb="28" eb="30">
      <t>ゲンチ</t>
    </rPh>
    <rPh sb="30" eb="32">
      <t>カクニン</t>
    </rPh>
    <phoneticPr fontId="2"/>
  </si>
  <si>
    <t>搬入搬出量の報告</t>
    <rPh sb="0" eb="5">
      <t>ハンニュウハンシュツリョウ</t>
    </rPh>
    <rPh sb="6" eb="8">
      <t>ホウコク</t>
    </rPh>
    <phoneticPr fontId="2"/>
  </si>
  <si>
    <t>環境省報告フォーマット</t>
    <rPh sb="0" eb="3">
      <t>カンキョウショウ</t>
    </rPh>
    <rPh sb="3" eb="5">
      <t>ホウコク</t>
    </rPh>
    <phoneticPr fontId="2"/>
  </si>
  <si>
    <t>指示事項</t>
    <rPh sb="0" eb="4">
      <t>シジジコウ</t>
    </rPh>
    <phoneticPr fontId="2"/>
  </si>
  <si>
    <t>生活系ごみG、災害廃棄物Gの依頼を受けて、災対本部広報班に依頼</t>
    <rPh sb="0" eb="3">
      <t>セイカツケイ</t>
    </rPh>
    <rPh sb="7" eb="12">
      <t>サイガイハイキブツ</t>
    </rPh>
    <rPh sb="14" eb="16">
      <t>イライ</t>
    </rPh>
    <rPh sb="17" eb="18">
      <t>ウ</t>
    </rPh>
    <rPh sb="21" eb="25">
      <t>サイタイホンブ</t>
    </rPh>
    <rPh sb="25" eb="27">
      <t>コウホウ</t>
    </rPh>
    <rPh sb="27" eb="28">
      <t>ハン</t>
    </rPh>
    <rPh sb="29" eb="31">
      <t>イライ</t>
    </rPh>
    <phoneticPr fontId="2"/>
  </si>
  <si>
    <t>契約Ｇに契約の依頼</t>
    <rPh sb="0" eb="2">
      <t>ケイヤク</t>
    </rPh>
    <rPh sb="4" eb="6">
      <t>ケイヤク</t>
    </rPh>
    <rPh sb="7" eb="9">
      <t>イライ</t>
    </rPh>
    <phoneticPr fontId="2"/>
  </si>
  <si>
    <t>情報収集Ｇに広報の依頼</t>
    <rPh sb="0" eb="4">
      <t>ジョウホウシュウシュウ</t>
    </rPh>
    <rPh sb="6" eb="8">
      <t>コウホウ</t>
    </rPh>
    <rPh sb="9" eb="11">
      <t>イライ</t>
    </rPh>
    <phoneticPr fontId="2"/>
  </si>
  <si>
    <t>仮置場必要面積(ha)</t>
    <rPh sb="0" eb="2">
      <t>カリオ</t>
    </rPh>
    <rPh sb="2" eb="3">
      <t>バ</t>
    </rPh>
    <rPh sb="3" eb="5">
      <t>ヒツヨウ</t>
    </rPh>
    <rPh sb="5" eb="7">
      <t>メンセキ</t>
    </rPh>
    <phoneticPr fontId="19"/>
  </si>
  <si>
    <r>
      <t>仮置場必要面積(m</t>
    </r>
    <r>
      <rPr>
        <vertAlign val="superscript"/>
        <sz val="9"/>
        <color theme="1"/>
        <rFont val="HGPｺﾞｼｯｸM"/>
        <family val="3"/>
        <charset val="128"/>
      </rPr>
      <t>2</t>
    </r>
    <r>
      <rPr>
        <sz val="9"/>
        <color theme="1"/>
        <rFont val="HGPｺﾞｼｯｸM"/>
        <family val="3"/>
        <charset val="128"/>
      </rPr>
      <t>)</t>
    </r>
    <rPh sb="0" eb="2">
      <t>カリオ</t>
    </rPh>
    <rPh sb="2" eb="3">
      <t>バ</t>
    </rPh>
    <rPh sb="3" eb="5">
      <t>ヒツヨウ</t>
    </rPh>
    <rPh sb="5" eb="7">
      <t>メンセキ</t>
    </rPh>
    <phoneticPr fontId="19"/>
  </si>
  <si>
    <t>情報収集Ｇへの指示内容</t>
    <rPh sb="7" eb="11">
      <t>シジナイヨウ</t>
    </rPh>
    <phoneticPr fontId="2"/>
  </si>
  <si>
    <t>生活系ごみＧへの指示内容</t>
    <rPh sb="8" eb="12">
      <t>シジナイヨウ</t>
    </rPh>
    <phoneticPr fontId="2"/>
  </si>
  <si>
    <t>災害廃棄物Ｇへの指示内容</t>
    <rPh sb="8" eb="12">
      <t>シジナイヨウ</t>
    </rPh>
    <phoneticPr fontId="2"/>
  </si>
  <si>
    <t>長期停電の場合、腐敗廃棄物発生可能性が大</t>
    <rPh sb="0" eb="2">
      <t>チョウキ</t>
    </rPh>
    <rPh sb="2" eb="4">
      <t>テイデン</t>
    </rPh>
    <rPh sb="5" eb="7">
      <t>バアイ</t>
    </rPh>
    <rPh sb="8" eb="13">
      <t>フハイハイキブツ</t>
    </rPh>
    <rPh sb="13" eb="15">
      <t>ハッセイ</t>
    </rPh>
    <rPh sb="15" eb="18">
      <t>カノウセイ</t>
    </rPh>
    <rPh sb="19" eb="20">
      <t>ダイ</t>
    </rPh>
    <phoneticPr fontId="2"/>
  </si>
  <si>
    <t>避難所ごみ・生活ごみ収集処分計画</t>
    <rPh sb="0" eb="3">
      <t>ヒナンショ</t>
    </rPh>
    <rPh sb="6" eb="8">
      <t>セイカツ</t>
    </rPh>
    <rPh sb="10" eb="12">
      <t>シュウシュウ</t>
    </rPh>
    <rPh sb="12" eb="14">
      <t>ショブン</t>
    </rPh>
    <rPh sb="14" eb="16">
      <t>ケイカク</t>
    </rPh>
    <phoneticPr fontId="2"/>
  </si>
  <si>
    <t>生活系ごみＧで案を作成</t>
    <rPh sb="0" eb="3">
      <t>セイカツケイ</t>
    </rPh>
    <rPh sb="7" eb="8">
      <t>アン</t>
    </rPh>
    <rPh sb="9" eb="11">
      <t>サクセイ</t>
    </rPh>
    <phoneticPr fontId="2"/>
  </si>
  <si>
    <t>災害廃棄物Ｇで案を作成</t>
    <rPh sb="0" eb="5">
      <t>サイガイハイキブツ</t>
    </rPh>
    <rPh sb="7" eb="8">
      <t>アン</t>
    </rPh>
    <rPh sb="9" eb="11">
      <t>サクセイ</t>
    </rPh>
    <phoneticPr fontId="2"/>
  </si>
  <si>
    <t>生活系ごみ収集処分計画（案）作成提出※</t>
    <rPh sb="0" eb="3">
      <t>セイカツケイ</t>
    </rPh>
    <rPh sb="5" eb="7">
      <t>シュウシュウ</t>
    </rPh>
    <rPh sb="7" eb="11">
      <t>ショブンケイカク</t>
    </rPh>
    <rPh sb="12" eb="13">
      <t>アン</t>
    </rPh>
    <rPh sb="14" eb="16">
      <t>サクセイ</t>
    </rPh>
    <rPh sb="16" eb="18">
      <t>テイシュツ</t>
    </rPh>
    <phoneticPr fontId="2"/>
  </si>
  <si>
    <t>※生活ごみの分別、回収日は従前と同じにし、避難所ごみの分別・回収方法を予め決めておくこと</t>
    <rPh sb="1" eb="3">
      <t>セイカツ</t>
    </rPh>
    <rPh sb="6" eb="8">
      <t>ブンベツ</t>
    </rPh>
    <rPh sb="9" eb="12">
      <t>カイシュウビ</t>
    </rPh>
    <rPh sb="13" eb="15">
      <t>ジュウゼン</t>
    </rPh>
    <rPh sb="16" eb="17">
      <t>オナ</t>
    </rPh>
    <rPh sb="21" eb="24">
      <t>ヒナンショ</t>
    </rPh>
    <rPh sb="27" eb="29">
      <t>ブンベツ</t>
    </rPh>
    <rPh sb="30" eb="34">
      <t>カイシュウホウホウ</t>
    </rPh>
    <rPh sb="35" eb="36">
      <t>アラカジ</t>
    </rPh>
    <rPh sb="37" eb="38">
      <t>キ</t>
    </rPh>
    <phoneticPr fontId="2"/>
  </si>
  <si>
    <t>災害廃棄物処理計画（案）作成提出※</t>
    <rPh sb="0" eb="5">
      <t>サイガイハイキブツ</t>
    </rPh>
    <rPh sb="5" eb="7">
      <t>ショリ</t>
    </rPh>
    <rPh sb="7" eb="9">
      <t>ケイカク</t>
    </rPh>
    <rPh sb="10" eb="11">
      <t>アン</t>
    </rPh>
    <rPh sb="12" eb="14">
      <t>サクセイ</t>
    </rPh>
    <rPh sb="14" eb="16">
      <t>テイシュツ</t>
    </rPh>
    <phoneticPr fontId="2"/>
  </si>
  <si>
    <t>※災害廃棄物（片付けごみを含む）の分別方法は予め決めておく</t>
    <rPh sb="1" eb="6">
      <t>サイガイハイキブツ</t>
    </rPh>
    <rPh sb="7" eb="9">
      <t>カタヅ</t>
    </rPh>
    <rPh sb="13" eb="14">
      <t>フク</t>
    </rPh>
    <rPh sb="17" eb="21">
      <t>ブンベツホウホウ</t>
    </rPh>
    <rPh sb="22" eb="23">
      <t>アラカジ</t>
    </rPh>
    <rPh sb="24" eb="25">
      <t>キ</t>
    </rPh>
    <phoneticPr fontId="2"/>
  </si>
  <si>
    <t>　仮置場の候補地と場所ごとのレイアウトは予め決めておく</t>
    <rPh sb="1" eb="4">
      <t>カリオキバ</t>
    </rPh>
    <rPh sb="5" eb="7">
      <t>コウホ</t>
    </rPh>
    <rPh sb="7" eb="8">
      <t>チ</t>
    </rPh>
    <rPh sb="9" eb="11">
      <t>バショ</t>
    </rPh>
    <rPh sb="20" eb="21">
      <t>アラカジ</t>
    </rPh>
    <rPh sb="22" eb="23">
      <t>キ</t>
    </rPh>
    <phoneticPr fontId="2"/>
  </si>
  <si>
    <t>　仮置場を開設するか、しないかの判断基準を予め決めておく</t>
    <rPh sb="1" eb="4">
      <t>カリオキバ</t>
    </rPh>
    <rPh sb="5" eb="7">
      <t>カイセツ</t>
    </rPh>
    <rPh sb="16" eb="20">
      <t>ハンダンキジュン</t>
    </rPh>
    <rPh sb="21" eb="22">
      <t>アラカジ</t>
    </rPh>
    <rPh sb="23" eb="24">
      <t>キ</t>
    </rPh>
    <phoneticPr fontId="2"/>
  </si>
  <si>
    <t>し尿収集運搬契約</t>
    <rPh sb="6" eb="8">
      <t>ケイヤク</t>
    </rPh>
    <phoneticPr fontId="2"/>
  </si>
  <si>
    <t>仮設トイレのリース契約（廃棄物サイドで契約する場合）</t>
    <phoneticPr fontId="2"/>
  </si>
  <si>
    <t>し尿処理契約</t>
    <phoneticPr fontId="2"/>
  </si>
  <si>
    <t>避難所ごみ、生活ごみ収集運搬契約</t>
    <phoneticPr fontId="2"/>
  </si>
  <si>
    <t>避難所ごみ、生活ごみの中間処理契約（通常は焼却）</t>
    <phoneticPr fontId="2"/>
  </si>
  <si>
    <t>災害廃棄物の収集運搬契約</t>
    <phoneticPr fontId="2"/>
  </si>
  <si>
    <t>災害廃棄物の処分契約</t>
    <phoneticPr fontId="2"/>
  </si>
  <si>
    <t>仮置場の造成契約</t>
    <phoneticPr fontId="2"/>
  </si>
  <si>
    <t>仮置場の管理棟、囲い、看板、トラックスケール、敷き鉄板、重機等のリース契約</t>
    <phoneticPr fontId="2"/>
  </si>
  <si>
    <t>月日</t>
    <rPh sb="0" eb="2">
      <t>ガッピ</t>
    </rPh>
    <phoneticPr fontId="2"/>
  </si>
  <si>
    <t>時刻</t>
    <rPh sb="0" eb="2">
      <t>ジコク</t>
    </rPh>
    <phoneticPr fontId="2"/>
  </si>
  <si>
    <t>当方</t>
    <rPh sb="0" eb="2">
      <t>トウホウ</t>
    </rPh>
    <phoneticPr fontId="2"/>
  </si>
  <si>
    <t>受信内容・指示内容</t>
    <rPh sb="0" eb="4">
      <t>ジュシンナイヨウ</t>
    </rPh>
    <rPh sb="5" eb="9">
      <t>シジナイヨウ</t>
    </rPh>
    <phoneticPr fontId="2"/>
  </si>
  <si>
    <t>担当者名</t>
    <rPh sb="0" eb="3">
      <t>タントウシャ</t>
    </rPh>
    <rPh sb="3" eb="4">
      <t>メイ</t>
    </rPh>
    <phoneticPr fontId="2"/>
  </si>
  <si>
    <t>村上市</t>
    <rPh sb="0" eb="3">
      <t>ムラカミシ</t>
    </rPh>
    <phoneticPr fontId="2"/>
  </si>
  <si>
    <t>新潟　太郎</t>
    <rPh sb="0" eb="2">
      <t>ニイガタ</t>
    </rPh>
    <rPh sb="3" eb="5">
      <t>タロウ</t>
    </rPh>
    <phoneticPr fontId="2"/>
  </si>
  <si>
    <t>太田　隆宏</t>
    <rPh sb="0" eb="2">
      <t>オオタ</t>
    </rPh>
    <rPh sb="3" eb="5">
      <t>タカヒロ</t>
    </rPh>
    <phoneticPr fontId="2"/>
  </si>
  <si>
    <t>小岩内地区で浸水
床上１５戸、床下３６戸</t>
    <rPh sb="0" eb="3">
      <t>ショウイワナイ</t>
    </rPh>
    <rPh sb="3" eb="5">
      <t>チク</t>
    </rPh>
    <rPh sb="6" eb="8">
      <t>シンスイ</t>
    </rPh>
    <rPh sb="9" eb="11">
      <t>ユカウエ</t>
    </rPh>
    <rPh sb="13" eb="14">
      <t>コ</t>
    </rPh>
    <rPh sb="15" eb="17">
      <t>ユカシタ</t>
    </rPh>
    <rPh sb="19" eb="20">
      <t>コ</t>
    </rPh>
    <phoneticPr fontId="2"/>
  </si>
  <si>
    <t>人員の応援要請</t>
    <rPh sb="0" eb="2">
      <t>ジンイン</t>
    </rPh>
    <rPh sb="3" eb="7">
      <t>オウエンヨウセイ</t>
    </rPh>
    <phoneticPr fontId="2"/>
  </si>
  <si>
    <t>企画調整Ｇ●●</t>
    <rPh sb="0" eb="4">
      <t>キカクチョウセイ</t>
    </rPh>
    <phoneticPr fontId="2"/>
  </si>
  <si>
    <t>北海道と調整</t>
    <rPh sb="0" eb="3">
      <t>ホッカイドウ</t>
    </rPh>
    <rPh sb="4" eb="6">
      <t>チョウセイ</t>
    </rPh>
    <phoneticPr fontId="2"/>
  </si>
  <si>
    <t>発生場所から4t平ボディで回収し、仮置場へ搬送する仮定。平時に用意しているトラック０台とした。</t>
    <rPh sb="0" eb="4">
      <t>ハッセイバショ</t>
    </rPh>
    <rPh sb="8" eb="9">
      <t>ヒラ</t>
    </rPh>
    <rPh sb="13" eb="15">
      <t>カイシュウ</t>
    </rPh>
    <rPh sb="17" eb="20">
      <t>カリオキバ</t>
    </rPh>
    <rPh sb="21" eb="23">
      <t>ハンソウ</t>
    </rPh>
    <rPh sb="25" eb="27">
      <t>カテイ</t>
    </rPh>
    <rPh sb="28" eb="30">
      <t>ヘイジ</t>
    </rPh>
    <rPh sb="31" eb="33">
      <t>ヨウイ</t>
    </rPh>
    <rPh sb="42" eb="43">
      <t>ダイ</t>
    </rPh>
    <phoneticPr fontId="2"/>
  </si>
  <si>
    <t>災害廃棄物発生量の推計</t>
    <rPh sb="0" eb="5">
      <t>サイガイハイキブツ</t>
    </rPh>
    <rPh sb="5" eb="8">
      <t>ハッセイリョウ</t>
    </rPh>
    <rPh sb="9" eb="11">
      <t>スイケイ</t>
    </rPh>
    <phoneticPr fontId="2"/>
  </si>
  <si>
    <t>必要な仮置場面積の計算</t>
    <rPh sb="0" eb="2">
      <t>ヒツヨウ</t>
    </rPh>
    <rPh sb="3" eb="8">
      <t>カリオキバメンセキ</t>
    </rPh>
    <rPh sb="9" eb="11">
      <t>ケイサン</t>
    </rPh>
    <phoneticPr fontId="2"/>
  </si>
  <si>
    <t>し尿発生量の推計</t>
    <rPh sb="1" eb="2">
      <t>ニョウ</t>
    </rPh>
    <rPh sb="2" eb="5">
      <t>ハッセイリョウ</t>
    </rPh>
    <rPh sb="6" eb="8">
      <t>スイケイ</t>
    </rPh>
    <phoneticPr fontId="2"/>
  </si>
  <si>
    <t>仮設トイレの手配</t>
    <rPh sb="0" eb="2">
      <t>カセツ</t>
    </rPh>
    <rPh sb="6" eb="8">
      <t>テハイ</t>
    </rPh>
    <phoneticPr fontId="2"/>
  </si>
  <si>
    <t>し尿回収の手配</t>
    <rPh sb="1" eb="4">
      <t>ニョウカイシュウ</t>
    </rPh>
    <rPh sb="5" eb="7">
      <t>テハイ</t>
    </rPh>
    <phoneticPr fontId="2"/>
  </si>
  <si>
    <t>災害廃棄物回収計画の策定、発注</t>
    <rPh sb="0" eb="5">
      <t>サイガイハイキブツ</t>
    </rPh>
    <rPh sb="5" eb="9">
      <t>カイシュウケイカク</t>
    </rPh>
    <rPh sb="10" eb="12">
      <t>サクテイ</t>
    </rPh>
    <rPh sb="13" eb="15">
      <t>ハッチュウ</t>
    </rPh>
    <phoneticPr fontId="2"/>
  </si>
  <si>
    <t>仮置場の決定、開設の発注</t>
    <rPh sb="0" eb="3">
      <t>カリオキバ</t>
    </rPh>
    <rPh sb="4" eb="6">
      <t>ケッテイ</t>
    </rPh>
    <rPh sb="7" eb="9">
      <t>カイセツ</t>
    </rPh>
    <rPh sb="10" eb="12">
      <t>ハッチュウ</t>
    </rPh>
    <phoneticPr fontId="2"/>
  </si>
  <si>
    <t>水洗トイレに影響がある場合に考慮</t>
    <rPh sb="0" eb="2">
      <t>スイセン</t>
    </rPh>
    <rPh sb="6" eb="8">
      <t>エイキョウ</t>
    </rPh>
    <rPh sb="11" eb="13">
      <t>バアイ</t>
    </rPh>
    <rPh sb="14" eb="16">
      <t>コウリョ</t>
    </rPh>
    <phoneticPr fontId="2"/>
  </si>
  <si>
    <t>被災状況の入手</t>
    <rPh sb="0" eb="4">
      <t>ヒサイジョウキョウ</t>
    </rPh>
    <rPh sb="5" eb="7">
      <t>ニュウシュ</t>
    </rPh>
    <phoneticPr fontId="2"/>
  </si>
  <si>
    <t>避難所・生活ごみ、し尿回収計画の策定、発注</t>
    <rPh sb="0" eb="3">
      <t>ヒナンショ</t>
    </rPh>
    <rPh sb="4" eb="6">
      <t>セイカツ</t>
    </rPh>
    <rPh sb="10" eb="11">
      <t>ニョウ</t>
    </rPh>
    <rPh sb="11" eb="15">
      <t>カイシュウケイカク</t>
    </rPh>
    <rPh sb="16" eb="18">
      <t>サクテイ</t>
    </rPh>
    <rPh sb="19" eb="21">
      <t>ハッチュウ</t>
    </rPh>
    <phoneticPr fontId="2"/>
  </si>
  <si>
    <t>生活系ごみグループ、災害廃棄物ブループ、仮置場グループに指示</t>
    <rPh sb="0" eb="3">
      <t>セイカツケイ</t>
    </rPh>
    <rPh sb="10" eb="15">
      <t>サイガイハイキブツ</t>
    </rPh>
    <rPh sb="20" eb="23">
      <t>カリオキバ</t>
    </rPh>
    <rPh sb="28" eb="30">
      <t>シジ</t>
    </rPh>
    <phoneticPr fontId="2"/>
  </si>
  <si>
    <t>仮置場の管理・運営契約</t>
    <rPh sb="7" eb="9">
      <t>ウンエイ</t>
    </rPh>
    <phoneticPr fontId="2"/>
  </si>
  <si>
    <t>解体G</t>
    <rPh sb="0" eb="2">
      <t>カイタイ</t>
    </rPh>
    <phoneticPr fontId="2"/>
  </si>
  <si>
    <t>着手順を決定</t>
    <rPh sb="0" eb="3">
      <t>チャクシュジュン</t>
    </rPh>
    <rPh sb="4" eb="6">
      <t>ケッテイ</t>
    </rPh>
    <phoneticPr fontId="2"/>
  </si>
  <si>
    <t>解体廃棄物の搬出先を決定</t>
    <rPh sb="0" eb="5">
      <t>カイタイハイキブツ</t>
    </rPh>
    <rPh sb="6" eb="9">
      <t>ハンシュツサキ</t>
    </rPh>
    <rPh sb="10" eb="12">
      <t>ケッテイ</t>
    </rPh>
    <phoneticPr fontId="2"/>
  </si>
  <si>
    <t>災害廃棄物Gと協議</t>
    <rPh sb="0" eb="5">
      <t>サイガイハイキブツ</t>
    </rPh>
    <rPh sb="7" eb="9">
      <t>キョウギ</t>
    </rPh>
    <phoneticPr fontId="2"/>
  </si>
  <si>
    <t>被災確認の実施</t>
    <rPh sb="0" eb="4">
      <t>ヒサイカクニン</t>
    </rPh>
    <rPh sb="5" eb="7">
      <t>ジッシ</t>
    </rPh>
    <phoneticPr fontId="2"/>
  </si>
  <si>
    <t>土地家屋調査士等</t>
    <phoneticPr fontId="2"/>
  </si>
  <si>
    <t>自市町村利用可能割合（協議なしの場合「-」）</t>
    <rPh sb="0" eb="4">
      <t>ジシチョウソン</t>
    </rPh>
    <rPh sb="4" eb="6">
      <t>リヨウ</t>
    </rPh>
    <rPh sb="6" eb="10">
      <t>カノウワリアイ</t>
    </rPh>
    <rPh sb="11" eb="13">
      <t>キョウギ</t>
    </rPh>
    <rPh sb="16" eb="18">
      <t>バアイ</t>
    </rPh>
    <phoneticPr fontId="2"/>
  </si>
  <si>
    <t>-</t>
    <phoneticPr fontId="2"/>
  </si>
  <si>
    <t>黄色セルに入力し、緑セルが計算結果</t>
    <rPh sb="0" eb="2">
      <t>キイロ</t>
    </rPh>
    <rPh sb="5" eb="7">
      <t>ニュウリョク</t>
    </rPh>
    <rPh sb="9" eb="10">
      <t>ミドリ</t>
    </rPh>
    <rPh sb="13" eb="17">
      <t>ケイサンケッカ</t>
    </rPh>
    <phoneticPr fontId="2"/>
  </si>
  <si>
    <t>％　（被災状況から利用できる割合を組合で協議）</t>
    <rPh sb="3" eb="7">
      <t>ヒサイジョウキョウ</t>
    </rPh>
    <rPh sb="9" eb="11">
      <t>リヨウ</t>
    </rPh>
    <rPh sb="14" eb="16">
      <t>ワリアイ</t>
    </rPh>
    <rPh sb="20" eb="22">
      <t>キョウギ</t>
    </rPh>
    <phoneticPr fontId="2"/>
  </si>
  <si>
    <t>焼却</t>
    <rPh sb="0" eb="2">
      <t>ショウキャク</t>
    </rPh>
    <phoneticPr fontId="2"/>
  </si>
  <si>
    <t>埋立</t>
    <rPh sb="0" eb="2">
      <t>ウメタテ</t>
    </rPh>
    <phoneticPr fontId="2"/>
  </si>
  <si>
    <t>破砕</t>
    <rPh sb="0" eb="2">
      <t>ハサイ</t>
    </rPh>
    <phoneticPr fontId="2"/>
  </si>
  <si>
    <t>売却</t>
    <rPh sb="0" eb="2">
      <t>バイキャク</t>
    </rPh>
    <phoneticPr fontId="2"/>
  </si>
  <si>
    <t>し尿処理能力</t>
    <rPh sb="1" eb="6">
      <t>ニョウショリノウリョク</t>
    </rPh>
    <phoneticPr fontId="2"/>
  </si>
  <si>
    <t>仮設トイレ、し尿、バキューム車、避難所ごみ、パッカー車</t>
    <rPh sb="0" eb="2">
      <t>カセツ</t>
    </rPh>
    <rPh sb="7" eb="8">
      <t>ニョウ</t>
    </rPh>
    <rPh sb="14" eb="15">
      <t>シャ</t>
    </rPh>
    <rPh sb="16" eb="19">
      <t>ヒナンショ</t>
    </rPh>
    <rPh sb="26" eb="27">
      <t>シャ</t>
    </rPh>
    <phoneticPr fontId="2"/>
  </si>
  <si>
    <t>％　（被災状況から利用できる割合を組合で協議）※</t>
    <rPh sb="3" eb="7">
      <t>ヒサイジョウキョウ</t>
    </rPh>
    <rPh sb="9" eb="11">
      <t>リヨウ</t>
    </rPh>
    <rPh sb="14" eb="16">
      <t>ワリアイ</t>
    </rPh>
    <rPh sb="20" eb="22">
      <t>キョウギ</t>
    </rPh>
    <phoneticPr fontId="2"/>
  </si>
  <si>
    <t>※構成４町村で、１町のみ被災した場合など</t>
    <rPh sb="1" eb="3">
      <t>コウセイ</t>
    </rPh>
    <rPh sb="4" eb="6">
      <t>チョウソン</t>
    </rPh>
    <rPh sb="9" eb="10">
      <t>チョウ</t>
    </rPh>
    <rPh sb="12" eb="14">
      <t>ヒサイ</t>
    </rPh>
    <rPh sb="16" eb="18">
      <t>バアイ</t>
    </rPh>
    <phoneticPr fontId="2"/>
  </si>
  <si>
    <t>し尿処理能力不足分（L)</t>
    <rPh sb="1" eb="2">
      <t>ニョウ</t>
    </rPh>
    <rPh sb="2" eb="6">
      <t>ショリノウリョク</t>
    </rPh>
    <rPh sb="6" eb="9">
      <t>フソクブン</t>
    </rPh>
    <phoneticPr fontId="2"/>
  </si>
  <si>
    <t>焼却等処理能力不足分（ｔ/日）</t>
    <rPh sb="0" eb="3">
      <t>ショウキャクトウ</t>
    </rPh>
    <rPh sb="3" eb="10">
      <t>ショリノウリョクフソクブン</t>
    </rPh>
    <phoneticPr fontId="2"/>
  </si>
  <si>
    <t>焼却施設能力</t>
    <rPh sb="0" eb="4">
      <t>ショウキャクシセツ</t>
    </rPh>
    <rPh sb="4" eb="6">
      <t>ノウリョク</t>
    </rPh>
    <phoneticPr fontId="2"/>
  </si>
  <si>
    <t>計算結果</t>
    <rPh sb="0" eb="4">
      <t>ケイサンケッカ</t>
    </rPh>
    <phoneticPr fontId="2"/>
  </si>
  <si>
    <t>パッカー車不足台数（２ｔ積載換算）</t>
    <rPh sb="4" eb="5">
      <t>シャ</t>
    </rPh>
    <rPh sb="5" eb="7">
      <t>フソク</t>
    </rPh>
    <rPh sb="7" eb="9">
      <t>ダイスウ</t>
    </rPh>
    <rPh sb="12" eb="14">
      <t>セキサイ</t>
    </rPh>
    <rPh sb="14" eb="16">
      <t>カンサン</t>
    </rPh>
    <phoneticPr fontId="2"/>
  </si>
  <si>
    <t>バキューム車不足台数（３．７ｋL積載換算）</t>
    <rPh sb="5" eb="6">
      <t>シャ</t>
    </rPh>
    <rPh sb="6" eb="10">
      <t>フソクダイスウ</t>
    </rPh>
    <rPh sb="16" eb="18">
      <t>セキサイ</t>
    </rPh>
    <rPh sb="18" eb="20">
      <t>カンサン</t>
    </rPh>
    <phoneticPr fontId="2"/>
  </si>
  <si>
    <t>最終処分場能力</t>
    <rPh sb="0" eb="2">
      <t>サイシュウ</t>
    </rPh>
    <rPh sb="2" eb="5">
      <t>ショブンジョウ</t>
    </rPh>
    <rPh sb="5" eb="7">
      <t>ノウリョク</t>
    </rPh>
    <phoneticPr fontId="2"/>
  </si>
  <si>
    <t>残存容量（ｍ３）</t>
    <rPh sb="0" eb="2">
      <t>ザンゾン</t>
    </rPh>
    <rPh sb="2" eb="4">
      <t>ヨウリョウ</t>
    </rPh>
    <phoneticPr fontId="2"/>
  </si>
  <si>
    <t>処理実績（ｍ３/年）</t>
    <rPh sb="0" eb="2">
      <t>ショリ</t>
    </rPh>
    <rPh sb="2" eb="4">
      <t>ジッセキ</t>
    </rPh>
    <rPh sb="8" eb="9">
      <t>ネン</t>
    </rPh>
    <phoneticPr fontId="18"/>
  </si>
  <si>
    <t>自市町村処理実績（ｍ３/年）</t>
    <rPh sb="0" eb="4">
      <t>ジシチョウソン</t>
    </rPh>
    <rPh sb="4" eb="6">
      <t>ショリ</t>
    </rPh>
    <rPh sb="6" eb="8">
      <t>ジッセキ</t>
    </rPh>
    <rPh sb="12" eb="13">
      <t>ネン</t>
    </rPh>
    <phoneticPr fontId="18"/>
  </si>
  <si>
    <t>覆土量考慮</t>
    <rPh sb="0" eb="2">
      <t>フクド</t>
    </rPh>
    <rPh sb="2" eb="3">
      <t>リョウ</t>
    </rPh>
    <rPh sb="3" eb="5">
      <t>コウリョ</t>
    </rPh>
    <phoneticPr fontId="4"/>
  </si>
  <si>
    <t>前年残存容量‐前々年残存容量</t>
    <rPh sb="0" eb="2">
      <t>ゼンネン</t>
    </rPh>
    <rPh sb="2" eb="6">
      <t>ザンゾンヨウリョウ</t>
    </rPh>
    <rPh sb="7" eb="9">
      <t>ゼンゼン</t>
    </rPh>
    <rPh sb="9" eb="10">
      <t>ネン</t>
    </rPh>
    <rPh sb="10" eb="14">
      <t>ザンゾンヨウリョウ</t>
    </rPh>
    <phoneticPr fontId="2"/>
  </si>
  <si>
    <t>前年残存容量</t>
    <rPh sb="0" eb="2">
      <t>ゼンネン</t>
    </rPh>
    <rPh sb="2" eb="6">
      <t>ザンゾンヨウリョウ</t>
    </rPh>
    <phoneticPr fontId="2"/>
  </si>
  <si>
    <t>共同処理の場合</t>
    <rPh sb="0" eb="2">
      <t>キョウドウ</t>
    </rPh>
    <rPh sb="2" eb="4">
      <t>ショリ</t>
    </rPh>
    <rPh sb="5" eb="7">
      <t>バアイ</t>
    </rPh>
    <phoneticPr fontId="2"/>
  </si>
  <si>
    <t>残余容量 (m3)</t>
  </si>
  <si>
    <t>10年後残余容量 (m3)</t>
  </si>
  <si>
    <t>最終処分場</t>
    <rPh sb="0" eb="2">
      <t>サイシュウ</t>
    </rPh>
    <rPh sb="2" eb="5">
      <t>ショブンジョウ</t>
    </rPh>
    <phoneticPr fontId="2"/>
  </si>
  <si>
    <t>資源化</t>
    <rPh sb="0" eb="3">
      <t>シゲンカ</t>
    </rPh>
    <phoneticPr fontId="2"/>
  </si>
  <si>
    <t>処理能力不足（焼却）　　　　　　　</t>
    <rPh sb="0" eb="2">
      <t>ショリ</t>
    </rPh>
    <rPh sb="2" eb="4">
      <t>ノウリョク</t>
    </rPh>
    <rPh sb="4" eb="6">
      <t>ブソク</t>
    </rPh>
    <rPh sb="7" eb="9">
      <t>ショウキャク</t>
    </rPh>
    <phoneticPr fontId="2"/>
  </si>
  <si>
    <t>最終処分場</t>
    <rPh sb="0" eb="5">
      <t>サイシュウショブンジョウ</t>
    </rPh>
    <phoneticPr fontId="2"/>
  </si>
  <si>
    <t>処理可能量（自市町村分）(t)</t>
    <rPh sb="6" eb="7">
      <t>ジ</t>
    </rPh>
    <rPh sb="7" eb="10">
      <t>シチョウソン</t>
    </rPh>
    <rPh sb="10" eb="11">
      <t>ブン</t>
    </rPh>
    <phoneticPr fontId="4"/>
  </si>
  <si>
    <t>単独処理の場合処理可能量(t)</t>
    <rPh sb="0" eb="4">
      <t>タンドクショリ</t>
    </rPh>
    <rPh sb="5" eb="7">
      <t>バアイ</t>
    </rPh>
    <phoneticPr fontId="2"/>
  </si>
  <si>
    <t>自市町村分年間埋立量（実績） (m3/年度)</t>
    <phoneticPr fontId="2"/>
  </si>
  <si>
    <t>焼却残さ20%を追加</t>
    <rPh sb="0" eb="3">
      <t>ショウキャクザン</t>
    </rPh>
    <rPh sb="8" eb="10">
      <t>ツイカ</t>
    </rPh>
    <phoneticPr fontId="2"/>
  </si>
  <si>
    <t>黄色のセルに入力し、緑色のセルが計算結果</t>
    <rPh sb="0" eb="2">
      <t>キイロ</t>
    </rPh>
    <rPh sb="6" eb="8">
      <t>ニュウリョク</t>
    </rPh>
    <rPh sb="10" eb="12">
      <t>ミドリイロ</t>
    </rPh>
    <rPh sb="16" eb="20">
      <t>ケイサンケッカ</t>
    </rPh>
    <phoneticPr fontId="2"/>
  </si>
  <si>
    <t>焼却、破砕、最終処分</t>
    <phoneticPr fontId="2"/>
  </si>
  <si>
    <t>クロノロジーの開始</t>
    <rPh sb="7" eb="9">
      <t>カイシ</t>
    </rPh>
    <phoneticPr fontId="2"/>
  </si>
  <si>
    <t>必要面積（ｍ２）</t>
    <rPh sb="0" eb="4">
      <t>ヒツヨウメンセキ</t>
    </rPh>
    <phoneticPr fontId="2"/>
  </si>
  <si>
    <t>仮置場必要面積</t>
    <rPh sb="0" eb="3">
      <t>カリオキバ</t>
    </rPh>
    <rPh sb="3" eb="7">
      <t>ヒツヨウメンセキ</t>
    </rPh>
    <phoneticPr fontId="2"/>
  </si>
  <si>
    <t>仮置場から処理場への運搬は考慮していない。</t>
    <rPh sb="0" eb="3">
      <t>カリオキバ</t>
    </rPh>
    <rPh sb="5" eb="8">
      <t>ショリジョウ</t>
    </rPh>
    <rPh sb="10" eb="12">
      <t>ウンパン</t>
    </rPh>
    <rPh sb="13" eb="15">
      <t>コウリョ</t>
    </rPh>
    <phoneticPr fontId="2"/>
  </si>
  <si>
    <t>（ha）</t>
    <phoneticPr fontId="2"/>
  </si>
  <si>
    <t>先方自治体名
会社等名称</t>
    <rPh sb="0" eb="2">
      <t>センポウ</t>
    </rPh>
    <rPh sb="2" eb="6">
      <t>ジチタイメイ</t>
    </rPh>
    <rPh sb="7" eb="9">
      <t>カイシャ</t>
    </rPh>
    <rPh sb="9" eb="10">
      <t>トウ</t>
    </rPh>
    <rPh sb="10" eb="12">
      <t>メイショウ</t>
    </rPh>
    <phoneticPr fontId="2"/>
  </si>
  <si>
    <t>全G</t>
    <rPh sb="0" eb="1">
      <t>ゼン</t>
    </rPh>
    <phoneticPr fontId="2"/>
  </si>
  <si>
    <t>情報提供</t>
    <rPh sb="0" eb="4">
      <t>ジョウホウテイキョウ</t>
    </rPh>
    <phoneticPr fontId="2"/>
  </si>
  <si>
    <t>対応Ｇ</t>
    <rPh sb="0" eb="2">
      <t>タイオウ</t>
    </rPh>
    <phoneticPr fontId="2"/>
  </si>
  <si>
    <t>敷き鉄板の敷設</t>
    <rPh sb="0" eb="1">
      <t>シ</t>
    </rPh>
    <rPh sb="2" eb="4">
      <t>テッパン</t>
    </rPh>
    <rPh sb="5" eb="7">
      <t>フセツ</t>
    </rPh>
    <phoneticPr fontId="2"/>
  </si>
  <si>
    <t>分別看板、仕切りの設置</t>
    <rPh sb="0" eb="2">
      <t>ブンベツ</t>
    </rPh>
    <rPh sb="2" eb="4">
      <t>カンバン</t>
    </rPh>
    <rPh sb="5" eb="7">
      <t>シキ</t>
    </rPh>
    <rPh sb="9" eb="11">
      <t>セッチ</t>
    </rPh>
    <phoneticPr fontId="2"/>
  </si>
  <si>
    <t>囲いの設置</t>
    <rPh sb="0" eb="1">
      <t>カコ</t>
    </rPh>
    <rPh sb="3" eb="5">
      <t>セッチ</t>
    </rPh>
    <phoneticPr fontId="2"/>
  </si>
  <si>
    <t>受付の設置</t>
    <rPh sb="0" eb="2">
      <t>ウケツケ</t>
    </rPh>
    <rPh sb="3" eb="5">
      <t>セッチ</t>
    </rPh>
    <phoneticPr fontId="2"/>
  </si>
  <si>
    <t>作業員の確保（受付、誘導、分別指導、荷降ろし補助）</t>
    <rPh sb="0" eb="3">
      <t>サギョウイン</t>
    </rPh>
    <rPh sb="4" eb="6">
      <t>カクホ</t>
    </rPh>
    <rPh sb="7" eb="9">
      <t>ウケツケ</t>
    </rPh>
    <rPh sb="10" eb="12">
      <t>ユウドウ</t>
    </rPh>
    <rPh sb="13" eb="15">
      <t>ブンベツ</t>
    </rPh>
    <rPh sb="15" eb="17">
      <t>シドウ</t>
    </rPh>
    <rPh sb="18" eb="20">
      <t>ニオ</t>
    </rPh>
    <rPh sb="22" eb="24">
      <t>ホジョ</t>
    </rPh>
    <phoneticPr fontId="2"/>
  </si>
  <si>
    <t>緑色のセルが計算結果</t>
    <rPh sb="0" eb="2">
      <t>ミドリイロ</t>
    </rPh>
    <rPh sb="1" eb="2">
      <t>キミドリ</t>
    </rPh>
    <rPh sb="6" eb="10">
      <t>ケイサンケッカ</t>
    </rPh>
    <phoneticPr fontId="2"/>
  </si>
  <si>
    <t>処理期間（年）</t>
    <rPh sb="0" eb="4">
      <t>ショリキカン</t>
    </rPh>
    <rPh sb="5" eb="6">
      <t>ネン</t>
    </rPh>
    <phoneticPr fontId="2"/>
  </si>
  <si>
    <t>避難所ごみ（処理期間分）を追加している</t>
    <rPh sb="0" eb="3">
      <t>ヒナンショ</t>
    </rPh>
    <rPh sb="6" eb="10">
      <t>ショリキカン</t>
    </rPh>
    <rPh sb="10" eb="11">
      <t>フン</t>
    </rPh>
    <rPh sb="13" eb="15">
      <t>ツイカ</t>
    </rPh>
    <phoneticPr fontId="2"/>
  </si>
  <si>
    <t>この様式集は例であり、各市町村の状況（災害廃棄物処理計画）に合わせて</t>
    <rPh sb="2" eb="5">
      <t>ヨウシキシュウ</t>
    </rPh>
    <rPh sb="6" eb="7">
      <t>レイ</t>
    </rPh>
    <rPh sb="11" eb="15">
      <t>カクシチョウソン</t>
    </rPh>
    <rPh sb="16" eb="18">
      <t>ジョウキョウ</t>
    </rPh>
    <rPh sb="30" eb="31">
      <t>ア</t>
    </rPh>
    <phoneticPr fontId="2"/>
  </si>
  <si>
    <t>堆積状況の報告（可燃物の温度）</t>
    <rPh sb="0" eb="4">
      <t>タイセキジョウキョウ</t>
    </rPh>
    <rPh sb="5" eb="7">
      <t>ホウコク</t>
    </rPh>
    <rPh sb="8" eb="11">
      <t>カネンブツ</t>
    </rPh>
    <rPh sb="12" eb="14">
      <t>オンド</t>
    </rPh>
    <phoneticPr fontId="2"/>
  </si>
  <si>
    <t>体制整備ができない場合の初動時</t>
    <rPh sb="0" eb="4">
      <t>タイセイセイビ</t>
    </rPh>
    <rPh sb="9" eb="11">
      <t>バアイ</t>
    </rPh>
    <rPh sb="12" eb="14">
      <t>ショドウ</t>
    </rPh>
    <rPh sb="14" eb="15">
      <t>ジ</t>
    </rPh>
    <phoneticPr fontId="2"/>
  </si>
  <si>
    <t>計算式は、黄色いセルに必要事項を入力すると、緑のセルに結果が表示されます。</t>
    <rPh sb="0" eb="3">
      <t>ケイサンシキ</t>
    </rPh>
    <rPh sb="5" eb="7">
      <t>キイロ</t>
    </rPh>
    <rPh sb="11" eb="15">
      <t>ヒツヨウジコウ</t>
    </rPh>
    <rPh sb="16" eb="18">
      <t>ニュウリョク</t>
    </rPh>
    <rPh sb="22" eb="23">
      <t>ミドリ</t>
    </rPh>
    <rPh sb="27" eb="29">
      <t>ケッカ</t>
    </rPh>
    <rPh sb="30" eb="32">
      <t>ヒョウジ</t>
    </rPh>
    <phoneticPr fontId="2"/>
  </si>
  <si>
    <t>適宜修正してご利用ください。（下の組織図例に従って作成しています。）</t>
    <rPh sb="0" eb="2">
      <t>テキギ</t>
    </rPh>
    <rPh sb="2" eb="4">
      <t>シュウセイ</t>
    </rPh>
    <rPh sb="7" eb="9">
      <t>リヨウ</t>
    </rPh>
    <rPh sb="15" eb="16">
      <t>シタ</t>
    </rPh>
    <rPh sb="17" eb="21">
      <t>ソシキズレイ</t>
    </rPh>
    <rPh sb="22" eb="23">
      <t>シタガ</t>
    </rPh>
    <rPh sb="25" eb="27">
      <t>サクセイ</t>
    </rPh>
    <phoneticPr fontId="2"/>
  </si>
  <si>
    <t>組織体制の構築方法は他にもあります。災害廃棄物処理対応の主な流れは三沢市の例です。</t>
    <rPh sb="0" eb="4">
      <t>ソシキタイセイ</t>
    </rPh>
    <rPh sb="5" eb="9">
      <t>コウチクホウホウ</t>
    </rPh>
    <rPh sb="10" eb="11">
      <t>ホカ</t>
    </rPh>
    <rPh sb="18" eb="23">
      <t>サイガイハイキブツ</t>
    </rPh>
    <rPh sb="23" eb="25">
      <t>ショリ</t>
    </rPh>
    <rPh sb="25" eb="27">
      <t>タイオウ</t>
    </rPh>
    <rPh sb="28" eb="29">
      <t>オモ</t>
    </rPh>
    <rPh sb="30" eb="31">
      <t>ナガ</t>
    </rPh>
    <rPh sb="33" eb="36">
      <t>ミサワシ</t>
    </rPh>
    <rPh sb="37" eb="38">
      <t>レイ</t>
    </rPh>
    <phoneticPr fontId="2"/>
  </si>
  <si>
    <t>グループ名</t>
  </si>
  <si>
    <t>業　　務　　内　　容</t>
  </si>
  <si>
    <t>企画調整グループ</t>
  </si>
  <si>
    <t>各グループへの指示、収集・処理等の計画の決定、他機関等との調整</t>
  </si>
  <si>
    <t>情報収集グループ</t>
  </si>
  <si>
    <t>活動の記録、情報の収集、連絡系統の確立</t>
  </si>
  <si>
    <t>生活系ごみグループ</t>
  </si>
  <si>
    <t>仮設トイレの設置、避難所ごみ及び生活ごみの収集・処理</t>
  </si>
  <si>
    <t>災害廃棄物グループ</t>
  </si>
  <si>
    <t>片付けごみ等の収集・処理、仮置場の設置</t>
  </si>
  <si>
    <t>仮置場グループ</t>
  </si>
  <si>
    <t>仮置場の運営</t>
  </si>
  <si>
    <t>契約グループ</t>
  </si>
  <si>
    <t>資金管理、各種契約、補助金申請</t>
  </si>
  <si>
    <t>公費解体グループ</t>
  </si>
  <si>
    <t>被災建物の確認、解体</t>
  </si>
  <si>
    <t xml:space="preserve">　　　　　　　　　　　　　　　　　　　　　　　　　　　　　　　 </t>
  </si>
  <si>
    <t>①企画調整グループは、協定を発動し仮置場設置を指示</t>
  </si>
  <si>
    <t>広報の実施</t>
    <rPh sb="0" eb="2">
      <t>コウホウ</t>
    </rPh>
    <rPh sb="3" eb="5">
      <t>ジッシ</t>
    </rPh>
    <phoneticPr fontId="2"/>
  </si>
  <si>
    <t>体制整備ができない場合の初動時の例</t>
    <rPh sb="0" eb="4">
      <t>タイセイセイビ</t>
    </rPh>
    <rPh sb="9" eb="11">
      <t>バアイ</t>
    </rPh>
    <rPh sb="12" eb="15">
      <t>ショドウジ</t>
    </rPh>
    <rPh sb="16" eb="17">
      <t>レイ</t>
    </rPh>
    <phoneticPr fontId="2"/>
  </si>
  <si>
    <t>全班員：体制整備</t>
    <rPh sb="4" eb="8">
      <t>タイセイセイビ</t>
    </rPh>
    <phoneticPr fontId="2"/>
  </si>
  <si>
    <t>北海道へ支援の要否の報告</t>
    <rPh sb="0" eb="3">
      <t>ホッカイドウ</t>
    </rPh>
    <rPh sb="4" eb="6">
      <t>シエン</t>
    </rPh>
    <rPh sb="7" eb="9">
      <t>ヨウヒ</t>
    </rPh>
    <rPh sb="10" eb="12">
      <t>ホウコク</t>
    </rPh>
    <phoneticPr fontId="2"/>
  </si>
  <si>
    <t>・処理施設（焼却、最終、その他）</t>
    <rPh sb="1" eb="5">
      <t>ショリシセツ</t>
    </rPh>
    <rPh sb="6" eb="8">
      <t>ショウキャク</t>
    </rPh>
    <rPh sb="9" eb="11">
      <t>サイシュウ</t>
    </rPh>
    <rPh sb="14" eb="15">
      <t>タ</t>
    </rPh>
    <phoneticPr fontId="2"/>
  </si>
  <si>
    <t>・平時委託先（収集運搬車両等）</t>
    <rPh sb="1" eb="6">
      <t>ヘイジイタクサキ</t>
    </rPh>
    <rPh sb="7" eb="9">
      <t>シュウシュウ</t>
    </rPh>
    <rPh sb="9" eb="11">
      <t>ウンパン</t>
    </rPh>
    <rPh sb="11" eb="14">
      <t>シャリョウトウ</t>
    </rPh>
    <phoneticPr fontId="2"/>
  </si>
  <si>
    <t>・職員（このメンバー）</t>
    <rPh sb="1" eb="3">
      <t>ショクイン</t>
    </rPh>
    <phoneticPr fontId="2"/>
  </si>
  <si>
    <t>処理方式</t>
    <rPh sb="0" eb="4">
      <t>ショリホウシキ</t>
    </rPh>
    <phoneticPr fontId="2"/>
  </si>
  <si>
    <t>単独</t>
    <rPh sb="0" eb="2">
      <t>タンドク</t>
    </rPh>
    <phoneticPr fontId="2"/>
  </si>
  <si>
    <t>共同</t>
    <rPh sb="0" eb="2">
      <t>キョウドウ</t>
    </rPh>
    <phoneticPr fontId="2"/>
  </si>
  <si>
    <t>L/人・日</t>
    <rPh sb="2" eb="3">
      <t>ニン</t>
    </rPh>
    <rPh sb="4" eb="5">
      <t>ニチ</t>
    </rPh>
    <phoneticPr fontId="18"/>
  </si>
  <si>
    <t>日</t>
    <rPh sb="0" eb="1">
      <t>ニチ</t>
    </rPh>
    <phoneticPr fontId="18"/>
  </si>
  <si>
    <t>L</t>
    <phoneticPr fontId="18"/>
  </si>
  <si>
    <t>出典：災害廃棄物対策指針　技術資料【技14-3】</t>
    <phoneticPr fontId="18"/>
  </si>
  <si>
    <t>人</t>
    <rPh sb="0" eb="1">
      <t>ニン</t>
    </rPh>
    <phoneticPr fontId="18"/>
  </si>
  <si>
    <t>仮設トイレ＋汲取りのし尿発生量(L/日)</t>
    <rPh sb="0" eb="2">
      <t>カセツ</t>
    </rPh>
    <rPh sb="6" eb="8">
      <t>クミト</t>
    </rPh>
    <rPh sb="11" eb="12">
      <t>ニョウ</t>
    </rPh>
    <rPh sb="12" eb="14">
      <t>ハッセイ</t>
    </rPh>
    <rPh sb="14" eb="15">
      <t>リョウ</t>
    </rPh>
    <rPh sb="18" eb="19">
      <t>ニチ</t>
    </rPh>
    <phoneticPr fontId="18"/>
  </si>
  <si>
    <t>L/日</t>
    <rPh sb="2" eb="3">
      <t>ニチ</t>
    </rPh>
    <phoneticPr fontId="2"/>
  </si>
  <si>
    <t>L/日</t>
    <rPh sb="2" eb="3">
      <t>ニチ</t>
    </rPh>
    <phoneticPr fontId="18"/>
  </si>
  <si>
    <t>年間し尿回収必要量</t>
    <rPh sb="0" eb="2">
      <t>ネンカン</t>
    </rPh>
    <rPh sb="3" eb="4">
      <t>ニョウ</t>
    </rPh>
    <rPh sb="4" eb="9">
      <t>カイシュウヒツヨウリョウ</t>
    </rPh>
    <phoneticPr fontId="18"/>
  </si>
  <si>
    <t>ｋL/年</t>
    <rPh sb="2" eb="4">
      <t>･ネン</t>
    </rPh>
    <phoneticPr fontId="18"/>
  </si>
  <si>
    <t>基</t>
    <rPh sb="0" eb="1">
      <t>キ</t>
    </rPh>
    <phoneticPr fontId="18"/>
  </si>
  <si>
    <t>ｋL/年</t>
    <rPh sb="3" eb="4">
      <t>ネン</t>
    </rPh>
    <phoneticPr fontId="18"/>
  </si>
  <si>
    <t>　余力</t>
    <rPh sb="1" eb="3">
      <t>ヨリョク</t>
    </rPh>
    <phoneticPr fontId="18"/>
  </si>
  <si>
    <t>　余力自市町村分</t>
    <rPh sb="1" eb="3">
      <t>ヨリョク</t>
    </rPh>
    <rPh sb="3" eb="8">
      <t>ジシチョウソンブン</t>
    </rPh>
    <phoneticPr fontId="18"/>
  </si>
  <si>
    <t>ｔ/日</t>
    <rPh sb="2" eb="3">
      <t>ニチ</t>
    </rPh>
    <phoneticPr fontId="2"/>
  </si>
  <si>
    <t>ｔ/日</t>
    <rPh sb="2" eb="3">
      <t>ニチ</t>
    </rPh>
    <phoneticPr fontId="18"/>
  </si>
  <si>
    <t>最大稼働日数</t>
    <rPh sb="0" eb="4">
      <t>サイダイカドウ</t>
    </rPh>
    <rPh sb="4" eb="6">
      <t>ニッスウ</t>
    </rPh>
    <phoneticPr fontId="2"/>
  </si>
  <si>
    <t>台</t>
    <rPh sb="0" eb="1">
      <t>ダイ</t>
    </rPh>
    <phoneticPr fontId="2"/>
  </si>
  <si>
    <t>処理実績（ｔ/年）</t>
    <rPh sb="0" eb="2">
      <t>ショリ</t>
    </rPh>
    <rPh sb="2" eb="4">
      <t>ジッセキ</t>
    </rPh>
    <rPh sb="7" eb="8">
      <t>ネン</t>
    </rPh>
    <phoneticPr fontId="18"/>
  </si>
  <si>
    <t>最大稼働日数</t>
    <rPh sb="0" eb="6">
      <t>サイダイカドウニッスウ</t>
    </rPh>
    <phoneticPr fontId="2"/>
  </si>
  <si>
    <t>　余力（ｔ/年）</t>
    <rPh sb="1" eb="3">
      <t>ヨリョク</t>
    </rPh>
    <rPh sb="6" eb="7">
      <t>ネン</t>
    </rPh>
    <phoneticPr fontId="18"/>
  </si>
  <si>
    <t>ｔ/年</t>
    <rPh sb="2" eb="3">
      <t>ネン</t>
    </rPh>
    <phoneticPr fontId="2"/>
  </si>
  <si>
    <t>　余力自市町村分（組合処理）（ｔ/年）</t>
    <rPh sb="1" eb="3">
      <t>ヨリョク</t>
    </rPh>
    <rPh sb="3" eb="8">
      <t>ジシチョウソンブン</t>
    </rPh>
    <rPh sb="9" eb="13">
      <t>クミアイショリ</t>
    </rPh>
    <rPh sb="17" eb="18">
      <t>ネン</t>
    </rPh>
    <phoneticPr fontId="18"/>
  </si>
  <si>
    <t>自市町村処理実績（ｔ/年）</t>
    <rPh sb="0" eb="4">
      <t>ジシチョウソン</t>
    </rPh>
    <rPh sb="4" eb="6">
      <t>ショリ</t>
    </rPh>
    <rPh sb="6" eb="8">
      <t>ジッセキ</t>
    </rPh>
    <rPh sb="11" eb="12">
      <t>ネン</t>
    </rPh>
    <phoneticPr fontId="18"/>
  </si>
  <si>
    <t>ｔ/日（マイナスが不足分）</t>
    <rPh sb="2" eb="3">
      <t>ニチ</t>
    </rPh>
    <rPh sb="9" eb="12">
      <t>フソクブン</t>
    </rPh>
    <phoneticPr fontId="2"/>
  </si>
  <si>
    <t>ｔ/日（２ｔ/台で計算）</t>
    <rPh sb="2" eb="3">
      <t>ニチ</t>
    </rPh>
    <rPh sb="7" eb="8">
      <t>ダイ</t>
    </rPh>
    <rPh sb="9" eb="11">
      <t>ケイサン</t>
    </rPh>
    <phoneticPr fontId="2"/>
  </si>
  <si>
    <t>ｔ/日（220日で計算）</t>
    <rPh sb="2" eb="3">
      <t>ニチ</t>
    </rPh>
    <rPh sb="7" eb="8">
      <t>ニチ</t>
    </rPh>
    <rPh sb="9" eb="11">
      <t>ケイサン</t>
    </rPh>
    <phoneticPr fontId="2"/>
  </si>
  <si>
    <t>※以下計算式</t>
    <rPh sb="1" eb="3">
      <t>イカ</t>
    </rPh>
    <rPh sb="3" eb="6">
      <t>ケイサンシキ</t>
    </rPh>
    <phoneticPr fontId="2"/>
  </si>
  <si>
    <t>入力セル</t>
    <rPh sb="0" eb="2">
      <t>ニュウリョク</t>
    </rPh>
    <phoneticPr fontId="2"/>
  </si>
  <si>
    <t>公称最大能力で計算</t>
    <rPh sb="0" eb="2">
      <t>コウショウ</t>
    </rPh>
    <rPh sb="2" eb="6">
      <t>サイダイノウリョク</t>
    </rPh>
    <rPh sb="7" eb="9">
      <t>ケイサン</t>
    </rPh>
    <phoneticPr fontId="2"/>
  </si>
  <si>
    <t>台（２ｔ車）</t>
    <rPh sb="0" eb="1">
      <t>ダイ</t>
    </rPh>
    <rPh sb="4" eb="5">
      <t>シャ</t>
    </rPh>
    <phoneticPr fontId="2"/>
  </si>
  <si>
    <t>一般廃棄物処理実態調査等から</t>
    <rPh sb="0" eb="2">
      <t>イッパン</t>
    </rPh>
    <rPh sb="2" eb="7">
      <t>ハイキブツショリ</t>
    </rPh>
    <rPh sb="7" eb="11">
      <t>ジッタイチョウサ</t>
    </rPh>
    <rPh sb="11" eb="12">
      <t>トウ</t>
    </rPh>
    <phoneticPr fontId="2"/>
  </si>
  <si>
    <t>下水道部局、一般廃棄物処理実態調査等から</t>
    <rPh sb="0" eb="5">
      <t>ゲスイドウブキョク</t>
    </rPh>
    <rPh sb="6" eb="13">
      <t>イッパンハイキブツショリ</t>
    </rPh>
    <rPh sb="13" eb="15">
      <t>ジッタイ</t>
    </rPh>
    <rPh sb="15" eb="17">
      <t>チョウサ</t>
    </rPh>
    <rPh sb="17" eb="18">
      <t>トウ</t>
    </rPh>
    <phoneticPr fontId="2"/>
  </si>
  <si>
    <t>災害対策本部等から</t>
    <rPh sb="0" eb="6">
      <t>サイガイタイサクホンブ</t>
    </rPh>
    <rPh sb="6" eb="7">
      <t>トウ</t>
    </rPh>
    <phoneticPr fontId="2"/>
  </si>
  <si>
    <t>上水道部局等から</t>
    <rPh sb="0" eb="3">
      <t>ジョウスイドウ</t>
    </rPh>
    <rPh sb="3" eb="5">
      <t>ブキョク</t>
    </rPh>
    <rPh sb="5" eb="6">
      <t>トウ</t>
    </rPh>
    <phoneticPr fontId="2"/>
  </si>
  <si>
    <r>
      <t>「</t>
    </r>
    <r>
      <rPr>
        <sz val="9"/>
        <color rgb="FFFF0000"/>
        <rFont val="HGPｺﾞｼｯｸM"/>
        <family val="3"/>
        <charset val="128"/>
      </rPr>
      <t>単独</t>
    </r>
    <r>
      <rPr>
        <sz val="9"/>
        <color theme="1"/>
        <rFont val="HGPｺﾞｼｯｸM"/>
        <family val="3"/>
        <charset val="128"/>
      </rPr>
      <t>」か「</t>
    </r>
    <r>
      <rPr>
        <sz val="9"/>
        <color rgb="FFFF0000"/>
        <rFont val="HGPｺﾞｼｯｸM"/>
        <family val="3"/>
        <charset val="128"/>
      </rPr>
      <t>共同</t>
    </r>
    <r>
      <rPr>
        <sz val="9"/>
        <color theme="1"/>
        <rFont val="HGPｺﾞｼｯｸM"/>
        <family val="3"/>
        <charset val="128"/>
      </rPr>
      <t>」（組合、委託など）を記載</t>
    </r>
    <phoneticPr fontId="2"/>
  </si>
  <si>
    <t>施設被災による能力減少も考慮すること</t>
    <rPh sb="0" eb="2">
      <t>シセツ</t>
    </rPh>
    <rPh sb="2" eb="4">
      <t>ヒサイ</t>
    </rPh>
    <rPh sb="7" eb="9">
      <t>ノウリョク</t>
    </rPh>
    <rPh sb="9" eb="11">
      <t>ゲンショウ</t>
    </rPh>
    <rPh sb="12" eb="14">
      <t>コウリョ</t>
    </rPh>
    <phoneticPr fontId="2"/>
  </si>
  <si>
    <t>施設管理者から聴取</t>
    <rPh sb="0" eb="5">
      <t>シセツカンリシャ</t>
    </rPh>
    <rPh sb="7" eb="9">
      <t>チョウシュ</t>
    </rPh>
    <phoneticPr fontId="2"/>
  </si>
  <si>
    <t>組合の場合に入力</t>
    <rPh sb="0" eb="2">
      <t>クミアイ</t>
    </rPh>
    <rPh sb="3" eb="5">
      <t>バアイ</t>
    </rPh>
    <rPh sb="6" eb="8">
      <t>ニュウリョク</t>
    </rPh>
    <phoneticPr fontId="2"/>
  </si>
  <si>
    <t>3.5t(3.7kL積載)車換算で入力</t>
    <rPh sb="10" eb="12">
      <t>セキサイ</t>
    </rPh>
    <rPh sb="13" eb="14">
      <t>シャ</t>
    </rPh>
    <rPh sb="14" eb="16">
      <t>カンサン</t>
    </rPh>
    <rPh sb="17" eb="19">
      <t>ニュウリョク</t>
    </rPh>
    <phoneticPr fontId="2"/>
  </si>
  <si>
    <t>施設被災による減少も考慮すること</t>
    <rPh sb="0" eb="2">
      <t>シセツ</t>
    </rPh>
    <rPh sb="2" eb="4">
      <t>ヒサイ</t>
    </rPh>
    <rPh sb="7" eb="9">
      <t>ゲンショウ</t>
    </rPh>
    <rPh sb="10" eb="12">
      <t>コウリョ</t>
    </rPh>
    <phoneticPr fontId="2"/>
  </si>
  <si>
    <t>２ｔ積載換算で入力</t>
    <rPh sb="2" eb="4">
      <t>セキサイ</t>
    </rPh>
    <rPh sb="4" eb="6">
      <t>カンサン</t>
    </rPh>
    <rPh sb="7" eb="9">
      <t>ニュウリョク</t>
    </rPh>
    <phoneticPr fontId="2"/>
  </si>
  <si>
    <t>原単位</t>
    <rPh sb="0" eb="3">
      <t>ゲンタンイ</t>
    </rPh>
    <phoneticPr fontId="19"/>
  </si>
  <si>
    <t>ｃ</t>
    <phoneticPr fontId="18"/>
  </si>
  <si>
    <t>地震</t>
    <rPh sb="0" eb="2">
      <t>ジシン</t>
    </rPh>
    <phoneticPr fontId="18"/>
  </si>
  <si>
    <t>ｔ/棟</t>
    <rPh sb="2" eb="3">
      <t>トウ</t>
    </rPh>
    <phoneticPr fontId="18"/>
  </si>
  <si>
    <t>水害、土砂災害</t>
    <rPh sb="0" eb="2">
      <t>スイガイ</t>
    </rPh>
    <rPh sb="3" eb="7">
      <t>ドシャサイガイ</t>
    </rPh>
    <phoneticPr fontId="18"/>
  </si>
  <si>
    <t>一律ｔ</t>
    <rPh sb="0" eb="2">
      <t>イチリツ</t>
    </rPh>
    <phoneticPr fontId="18"/>
  </si>
  <si>
    <t>地震、地震（津波）</t>
    <rPh sb="0" eb="2">
      <t>ジシン</t>
    </rPh>
    <rPh sb="3" eb="5">
      <t>ジシン</t>
    </rPh>
    <rPh sb="6" eb="8">
      <t>ツナミ</t>
    </rPh>
    <phoneticPr fontId="18"/>
  </si>
  <si>
    <t>＜1000棟のとき</t>
    <rPh sb="5" eb="6">
      <t>トウ</t>
    </rPh>
    <phoneticPr fontId="18"/>
  </si>
  <si>
    <t>地震＋津波</t>
    <rPh sb="0" eb="2">
      <t>ジシン</t>
    </rPh>
    <rPh sb="3" eb="5">
      <t>ツナミ</t>
    </rPh>
    <phoneticPr fontId="18"/>
  </si>
  <si>
    <t>水害</t>
    <rPh sb="0" eb="2">
      <t>スイガイ</t>
    </rPh>
    <phoneticPr fontId="18"/>
  </si>
  <si>
    <t>土砂災害</t>
    <rPh sb="0" eb="2">
      <t>ドシャ</t>
    </rPh>
    <rPh sb="2" eb="4">
      <t>サイガイ</t>
    </rPh>
    <phoneticPr fontId="18"/>
  </si>
  <si>
    <t>該当に１が表示される</t>
    <rPh sb="0" eb="2">
      <t>ガイトウ</t>
    </rPh>
    <rPh sb="5" eb="7">
      <t>ヒョウジ</t>
    </rPh>
    <phoneticPr fontId="18"/>
  </si>
  <si>
    <t>＞1000棟のとき</t>
    <rPh sb="5" eb="6">
      <t>トウ</t>
    </rPh>
    <phoneticPr fontId="18"/>
  </si>
  <si>
    <t>片付けごみ発生量</t>
    <rPh sb="0" eb="2">
      <t>カタヅ</t>
    </rPh>
    <rPh sb="5" eb="8">
      <t>ハッセイリョウ</t>
    </rPh>
    <phoneticPr fontId="2"/>
  </si>
  <si>
    <t>片付けごみ発生量</t>
    <rPh sb="0" eb="2">
      <t>カタヅ</t>
    </rPh>
    <rPh sb="5" eb="8">
      <t>ハッセイリョウ</t>
    </rPh>
    <phoneticPr fontId="18"/>
  </si>
  <si>
    <t>片付けごみ発生量</t>
    <rPh sb="0" eb="2">
      <t>カタヅ</t>
    </rPh>
    <rPh sb="5" eb="7">
      <t>ハッセイ</t>
    </rPh>
    <rPh sb="7" eb="8">
      <t>リョウ</t>
    </rPh>
    <phoneticPr fontId="2"/>
  </si>
  <si>
    <r>
      <t>単位体積重量（t/m</t>
    </r>
    <r>
      <rPr>
        <vertAlign val="superscript"/>
        <sz val="9"/>
        <rFont val="HGPｺﾞｼｯｸM"/>
        <family val="3"/>
        <charset val="128"/>
      </rPr>
      <t>3</t>
    </r>
    <r>
      <rPr>
        <sz val="9"/>
        <rFont val="HGPｺﾞｼｯｸM"/>
        <family val="3"/>
        <charset val="128"/>
      </rPr>
      <t>）</t>
    </r>
    <rPh sb="0" eb="2">
      <t>タンイ</t>
    </rPh>
    <rPh sb="2" eb="4">
      <t>タイセキ</t>
    </rPh>
    <rPh sb="4" eb="6">
      <t>ジュウリョウ</t>
    </rPh>
    <phoneticPr fontId="4"/>
  </si>
  <si>
    <r>
      <t>埋立量（基準年度実績） (m</t>
    </r>
    <r>
      <rPr>
        <vertAlign val="superscript"/>
        <sz val="9"/>
        <rFont val="HGPｺﾞｼｯｸM"/>
        <family val="3"/>
        <charset val="128"/>
      </rPr>
      <t>3</t>
    </r>
    <r>
      <rPr>
        <sz val="9"/>
        <rFont val="HGPｺﾞｼｯｸM"/>
        <family val="3"/>
        <charset val="128"/>
      </rPr>
      <t>/年度)</t>
    </r>
    <rPh sb="4" eb="6">
      <t>キジュン</t>
    </rPh>
    <rPh sb="6" eb="8">
      <t>ネンド</t>
    </rPh>
    <rPh sb="8" eb="10">
      <t>ジッセキ</t>
    </rPh>
    <rPh sb="16" eb="18">
      <t>ネンド</t>
    </rPh>
    <phoneticPr fontId="30"/>
  </si>
  <si>
    <t>種類</t>
    <rPh sb="0" eb="2">
      <t>シュルイ</t>
    </rPh>
    <phoneticPr fontId="18"/>
  </si>
  <si>
    <t>地震１，地震＋津波２，水害３、土砂災害４</t>
    <rPh sb="0" eb="2">
      <t>ジシン</t>
    </rPh>
    <rPh sb="4" eb="6">
      <t>ジシン</t>
    </rPh>
    <rPh sb="7" eb="9">
      <t>ツナミ</t>
    </rPh>
    <rPh sb="11" eb="13">
      <t>スイガイ</t>
    </rPh>
    <rPh sb="15" eb="17">
      <t>ドシャ</t>
    </rPh>
    <rPh sb="17" eb="19">
      <t>サイガイ</t>
    </rPh>
    <phoneticPr fontId="18"/>
  </si>
  <si>
    <t>家屋災害等</t>
    <rPh sb="0" eb="2">
      <t>カオク</t>
    </rPh>
    <rPh sb="2" eb="4">
      <t>サイガイ</t>
    </rPh>
    <rPh sb="4" eb="5">
      <t>トウ</t>
    </rPh>
    <phoneticPr fontId="18"/>
  </si>
  <si>
    <t>全壊棟数</t>
  </si>
  <si>
    <t>半壊棟数</t>
  </si>
  <si>
    <t>一部損壊</t>
    <rPh sb="0" eb="4">
      <t>イチブソンカイ</t>
    </rPh>
    <phoneticPr fontId="18"/>
  </si>
  <si>
    <t>焼失:木造</t>
  </si>
  <si>
    <t>焼失:非木造</t>
  </si>
  <si>
    <t>非住家全壊</t>
    <rPh sb="0" eb="1">
      <t>ヒ</t>
    </rPh>
    <rPh sb="1" eb="3">
      <t>ジュウカ</t>
    </rPh>
    <rPh sb="3" eb="5">
      <t>ゼンカイ</t>
    </rPh>
    <phoneticPr fontId="18"/>
  </si>
  <si>
    <t>非住家半壊</t>
    <rPh sb="0" eb="1">
      <t>ヒ</t>
    </rPh>
    <rPh sb="1" eb="3">
      <t>ジュウカ</t>
    </rPh>
    <rPh sb="3" eb="5">
      <t>ハンカイ</t>
    </rPh>
    <phoneticPr fontId="18"/>
  </si>
  <si>
    <t>津波浸水面積</t>
  </si>
  <si>
    <t>北海道</t>
    <rPh sb="0" eb="3">
      <t>ホッカイドウ</t>
    </rPh>
    <phoneticPr fontId="18"/>
  </si>
  <si>
    <t>A1</t>
    <phoneticPr fontId="18"/>
  </si>
  <si>
    <t>木造床面積</t>
    <phoneticPr fontId="18"/>
  </si>
  <si>
    <t>ｍ2/棟</t>
    <rPh sb="3" eb="4">
      <t>トウ</t>
    </rPh>
    <phoneticPr fontId="18"/>
  </si>
  <si>
    <t>A2</t>
    <phoneticPr fontId="18"/>
  </si>
  <si>
    <t>非木造床面積</t>
    <phoneticPr fontId="18"/>
  </si>
  <si>
    <t>木造建物発生原単位</t>
    <phoneticPr fontId="18"/>
  </si>
  <si>
    <t>ｔ/ｍ2</t>
    <phoneticPr fontId="18"/>
  </si>
  <si>
    <t>非木造建物発生原単位</t>
    <phoneticPr fontId="18"/>
  </si>
  <si>
    <t>r1</t>
    <phoneticPr fontId="18"/>
  </si>
  <si>
    <t>解体棟数の構造内訳（木造）</t>
    <phoneticPr fontId="18"/>
  </si>
  <si>
    <t>r2</t>
    <phoneticPr fontId="18"/>
  </si>
  <si>
    <t>解体棟数の構造内訳（非木造）</t>
    <phoneticPr fontId="18"/>
  </si>
  <si>
    <t>解体率</t>
    <rPh sb="0" eb="3">
      <t>カイタイリツ</t>
    </rPh>
    <phoneticPr fontId="18"/>
  </si>
  <si>
    <t>地震（津波）</t>
    <rPh sb="0" eb="2">
      <t>ジシン</t>
    </rPh>
    <rPh sb="3" eb="5">
      <t>ツナミ</t>
    </rPh>
    <phoneticPr fontId="18"/>
  </si>
  <si>
    <t>全壊建物解体率</t>
    <phoneticPr fontId="18"/>
  </si>
  <si>
    <t>半壊建物解体率※</t>
    <phoneticPr fontId="18"/>
  </si>
  <si>
    <t>公物</t>
    <rPh sb="0" eb="2">
      <t>コウブツ</t>
    </rPh>
    <phoneticPr fontId="18"/>
  </si>
  <si>
    <t>CP</t>
    <phoneticPr fontId="18"/>
  </si>
  <si>
    <t>片付けごみ及び公物等量発生原単位</t>
    <phoneticPr fontId="18"/>
  </si>
  <si>
    <t>全壊＋半壊＜10棟のとき</t>
    <rPh sb="0" eb="2">
      <t>ゼンカイ</t>
    </rPh>
    <rPh sb="3" eb="5">
      <t>ハンカイ</t>
    </rPh>
    <rPh sb="8" eb="9">
      <t>トウ</t>
    </rPh>
    <phoneticPr fontId="18"/>
  </si>
  <si>
    <t>災害廃棄物発生量</t>
    <rPh sb="0" eb="8">
      <t>サイガイハイキブツハッセイリョウ</t>
    </rPh>
    <phoneticPr fontId="18"/>
  </si>
  <si>
    <t>X1＋X2</t>
    <phoneticPr fontId="18"/>
  </si>
  <si>
    <t>X3＋X4</t>
    <phoneticPr fontId="18"/>
  </si>
  <si>
    <t>＜10棟のとき</t>
    <rPh sb="3" eb="4">
      <t>トウ</t>
    </rPh>
    <phoneticPr fontId="18"/>
  </si>
  <si>
    <t>＞10棟のとき</t>
    <rPh sb="3" eb="4">
      <t>トウ</t>
    </rPh>
    <phoneticPr fontId="18"/>
  </si>
  <si>
    <t>解体廃棄物等発生量</t>
    <rPh sb="0" eb="6">
      <t>カイタイハイキブツトウ</t>
    </rPh>
    <rPh sb="6" eb="9">
      <t>ハッセイリョウ</t>
    </rPh>
    <phoneticPr fontId="18"/>
  </si>
  <si>
    <t>廃棄物組成</t>
    <rPh sb="0" eb="5">
      <t>ハイキブツソセイ</t>
    </rPh>
    <phoneticPr fontId="18"/>
  </si>
  <si>
    <t>地震（木造）</t>
    <rPh sb="0" eb="2">
      <t>ジシン</t>
    </rPh>
    <rPh sb="3" eb="5">
      <t>モクゾウ</t>
    </rPh>
    <phoneticPr fontId="18"/>
  </si>
  <si>
    <t>地震（非木造）</t>
    <rPh sb="0" eb="2">
      <t>ジシン</t>
    </rPh>
    <rPh sb="3" eb="4">
      <t>ヒ</t>
    </rPh>
    <rPh sb="4" eb="6">
      <t>モクゾウ</t>
    </rPh>
    <phoneticPr fontId="18"/>
  </si>
  <si>
    <t>発生量</t>
    <rPh sb="0" eb="3">
      <t>ハッセイリョウ</t>
    </rPh>
    <phoneticPr fontId="18"/>
  </si>
  <si>
    <t>-</t>
    <phoneticPr fontId="18"/>
  </si>
  <si>
    <t>出典</t>
    <rPh sb="0" eb="2">
      <t>シュッテン</t>
    </rPh>
    <phoneticPr fontId="18"/>
  </si>
  <si>
    <t>熊本地震</t>
    <rPh sb="0" eb="4">
      <t>クマモトジシン</t>
    </rPh>
    <phoneticPr fontId="18"/>
  </si>
  <si>
    <t>東日本</t>
    <rPh sb="0" eb="3">
      <t>ヒガシニホン</t>
    </rPh>
    <phoneticPr fontId="18"/>
  </si>
  <si>
    <t>岡山豪雨</t>
    <rPh sb="0" eb="2">
      <t>オカヤマ</t>
    </rPh>
    <rPh sb="2" eb="4">
      <t>ゴウウ</t>
    </rPh>
    <phoneticPr fontId="18"/>
  </si>
  <si>
    <t>広島豪雨</t>
    <rPh sb="0" eb="2">
      <t>ヒロシマ</t>
    </rPh>
    <rPh sb="2" eb="4">
      <t>ゴウウ</t>
    </rPh>
    <phoneticPr fontId="18"/>
  </si>
  <si>
    <t>津波堆積物</t>
    <rPh sb="0" eb="5">
      <t>ツナミタイセキブツ</t>
    </rPh>
    <phoneticPr fontId="18"/>
  </si>
  <si>
    <t>災害廃棄物の種類別発生量</t>
    <rPh sb="0" eb="5">
      <t>サイガイハイキブツ</t>
    </rPh>
    <rPh sb="6" eb="8">
      <t>シュルイ</t>
    </rPh>
    <rPh sb="8" eb="9">
      <t>ベツ</t>
    </rPh>
    <rPh sb="9" eb="12">
      <t>ハッセイリョウ</t>
    </rPh>
    <phoneticPr fontId="18"/>
  </si>
  <si>
    <t>焼却（中間処理）能力（ｔ/年）</t>
    <rPh sb="0" eb="2">
      <t>ショウキャク</t>
    </rPh>
    <rPh sb="3" eb="7">
      <t>チュウカンショリ</t>
    </rPh>
    <rPh sb="8" eb="10">
      <t>ノウリョク</t>
    </rPh>
    <rPh sb="13" eb="14">
      <t>ネン</t>
    </rPh>
    <phoneticPr fontId="2"/>
  </si>
  <si>
    <t>避難所ごみ処理量（ｔ/日）</t>
    <rPh sb="0" eb="3">
      <t>ヒナンショ</t>
    </rPh>
    <rPh sb="5" eb="8">
      <t>ショリリョウ</t>
    </rPh>
    <rPh sb="11" eb="12">
      <t>ニチ</t>
    </rPh>
    <phoneticPr fontId="2"/>
  </si>
  <si>
    <t>焼却処理量（ｔ/処理期間）</t>
    <rPh sb="0" eb="2">
      <t>ショウキャク</t>
    </rPh>
    <rPh sb="2" eb="5">
      <t>ショリリョウ</t>
    </rPh>
    <rPh sb="8" eb="12">
      <t>ショリキカン</t>
    </rPh>
    <phoneticPr fontId="2"/>
  </si>
  <si>
    <t>埋立処理量（ｔ/処理期間）</t>
    <rPh sb="0" eb="5">
      <t>ウメタテショリリョウ</t>
    </rPh>
    <rPh sb="8" eb="12">
      <t>ショリキカン</t>
    </rPh>
    <phoneticPr fontId="2"/>
  </si>
  <si>
    <t>処理能力不足分（ｔ/処理期間）</t>
    <rPh sb="0" eb="7">
      <t>ショリノウリョクフソクブン</t>
    </rPh>
    <rPh sb="10" eb="14">
      <t>ショリキカン</t>
    </rPh>
    <phoneticPr fontId="2"/>
  </si>
  <si>
    <t>一般廃棄物処理実態調査など</t>
    <rPh sb="0" eb="2">
      <t>イッパン</t>
    </rPh>
    <rPh sb="2" eb="5">
      <t>ハイキブツ</t>
    </rPh>
    <rPh sb="5" eb="7">
      <t>ショリ</t>
    </rPh>
    <rPh sb="7" eb="9">
      <t>ジッタイ</t>
    </rPh>
    <rPh sb="9" eb="11">
      <t>チョウサ</t>
    </rPh>
    <phoneticPr fontId="2"/>
  </si>
  <si>
    <t>災害により１～４を選択する。</t>
    <rPh sb="0" eb="2">
      <t>サイガイ</t>
    </rPh>
    <rPh sb="9" eb="11">
      <t>センタク</t>
    </rPh>
    <phoneticPr fontId="18"/>
  </si>
  <si>
    <t>被害想定から転記する
　浸水深3.0ｍ以上全壊
　浸水深1.5～３ｍ半壊
　浸水深0.5～1.5ｍ床上浸水
　浸水深0.5ｍ未満床下浸水
※非住家の被災棟数がわかり、全壊半壊が不明のときは次により計算する。
非住家全壊＝非住家被災棟数×住家全壊/（住家全壊+住家半壊）
非住家半壊＝非住家被災棟数×住家半壊/（住家全壊+住家半壊）</t>
    <rPh sb="0" eb="2">
      <t>ヒガイ</t>
    </rPh>
    <rPh sb="2" eb="4">
      <t>ソウテイ</t>
    </rPh>
    <rPh sb="12" eb="15">
      <t>シンスイシン</t>
    </rPh>
    <rPh sb="19" eb="21">
      <t>イジョウ</t>
    </rPh>
    <rPh sb="21" eb="23">
      <t>ゼンカイ</t>
    </rPh>
    <rPh sb="25" eb="28">
      <t>シンスイシン</t>
    </rPh>
    <rPh sb="34" eb="36">
      <t>ハンカイ</t>
    </rPh>
    <rPh sb="38" eb="41">
      <t>シンスイシン</t>
    </rPh>
    <rPh sb="49" eb="53">
      <t>ユカウエシンスイ</t>
    </rPh>
    <rPh sb="55" eb="58">
      <t>シンスイシン</t>
    </rPh>
    <rPh sb="62" eb="64">
      <t>ミマン</t>
    </rPh>
    <rPh sb="64" eb="66">
      <t>ユカシタ</t>
    </rPh>
    <rPh sb="66" eb="68">
      <t>シンスイ</t>
    </rPh>
    <phoneticPr fontId="18"/>
  </si>
  <si>
    <t>３ｍごとに50cm覆土＋即日覆土</t>
    <rPh sb="9" eb="11">
      <t>フクド</t>
    </rPh>
    <rPh sb="12" eb="16">
      <t>ソクジツフクド</t>
    </rPh>
    <phoneticPr fontId="2"/>
  </si>
  <si>
    <t>10tダンプ換算</t>
    <rPh sb="6" eb="8">
      <t>カンサン</t>
    </rPh>
    <phoneticPr fontId="2"/>
  </si>
  <si>
    <t>見かけ比重</t>
    <phoneticPr fontId="19"/>
  </si>
  <si>
    <t>津波堆積物</t>
    <rPh sb="0" eb="4">
      <t>ツナミタイセキ</t>
    </rPh>
    <rPh sb="4" eb="5">
      <t>ブツ</t>
    </rPh>
    <phoneticPr fontId="18"/>
  </si>
  <si>
    <t>積上げ高さ</t>
    <rPh sb="0" eb="2">
      <t>ツミア</t>
    </rPh>
    <rPh sb="3" eb="4">
      <t>タカ</t>
    </rPh>
    <phoneticPr fontId="19"/>
  </si>
  <si>
    <t>ｍ</t>
    <phoneticPr fontId="19"/>
  </si>
  <si>
    <t>災害廃棄物対策指針技術資料18-2</t>
    <phoneticPr fontId="19"/>
  </si>
  <si>
    <t>搬入搬出を同時に行わない</t>
    <phoneticPr fontId="19"/>
  </si>
  <si>
    <t>行わない場合は0を入力。行う場合は「－」とする。</t>
    <rPh sb="0" eb="1">
      <t>オコナ</t>
    </rPh>
    <rPh sb="4" eb="6">
      <t>バアイ</t>
    </rPh>
    <rPh sb="9" eb="11">
      <t>ニュウリョク</t>
    </rPh>
    <rPh sb="12" eb="13">
      <t>オコナ</t>
    </rPh>
    <rPh sb="14" eb="16">
      <t>バアイ</t>
    </rPh>
    <phoneticPr fontId="19"/>
  </si>
  <si>
    <t>処理期間</t>
    <rPh sb="0" eb="4">
      <t>ショリキカン</t>
    </rPh>
    <phoneticPr fontId="19"/>
  </si>
  <si>
    <t>集積量(t)</t>
    <rPh sb="0" eb="2">
      <t>シュウセキ</t>
    </rPh>
    <rPh sb="2" eb="3">
      <t>リョウ</t>
    </rPh>
    <phoneticPr fontId="19"/>
  </si>
  <si>
    <t>＜参考＞</t>
    <phoneticPr fontId="19"/>
  </si>
  <si>
    <t>片付けごみ</t>
    <rPh sb="0" eb="2">
      <t>カタヅ</t>
    </rPh>
    <phoneticPr fontId="19"/>
  </si>
  <si>
    <r>
      <t>比重</t>
    </r>
    <r>
      <rPr>
        <sz val="9"/>
        <color rgb="FF000000"/>
        <rFont val="Calibri"/>
        <family val="3"/>
      </rPr>
      <t>0.5</t>
    </r>
    <r>
      <rPr>
        <sz val="9"/>
        <color rgb="FF000000"/>
        <rFont val="HGPｺﾞｼｯｸM"/>
        <family val="3"/>
        <charset val="128"/>
      </rPr>
      <t>，積上げ高さ</t>
    </r>
    <r>
      <rPr>
        <sz val="9"/>
        <color rgb="FF000000"/>
        <rFont val="Calibri"/>
        <family val="3"/>
      </rPr>
      <t>3</t>
    </r>
    <r>
      <rPr>
        <sz val="9"/>
        <color rgb="FF000000"/>
        <rFont val="HGPｺﾞｼｯｸM"/>
        <family val="3"/>
        <charset val="128"/>
      </rPr>
      <t>ｍで計算</t>
    </r>
    <rPh sb="0" eb="2">
      <t>ヒジュウ</t>
    </rPh>
    <rPh sb="6" eb="8">
      <t>ツミア</t>
    </rPh>
    <rPh sb="9" eb="10">
      <t>タカ</t>
    </rPh>
    <rPh sb="14" eb="16">
      <t>ケイサン</t>
    </rPh>
    <phoneticPr fontId="19"/>
  </si>
  <si>
    <t>リサイクル等</t>
    <rPh sb="5" eb="6">
      <t>トウ</t>
    </rPh>
    <phoneticPr fontId="2"/>
  </si>
  <si>
    <t>廃棄物サイドで設置する場合（災害等補助金の対象外。災害対策本部で設置する場合と重複しないこと）</t>
    <rPh sb="0" eb="3">
      <t>ハイキブツ</t>
    </rPh>
    <rPh sb="7" eb="9">
      <t>セッチ</t>
    </rPh>
    <rPh sb="11" eb="13">
      <t>バアイ</t>
    </rPh>
    <rPh sb="14" eb="17">
      <t>サイガイトウ</t>
    </rPh>
    <rPh sb="17" eb="20">
      <t>ホジョキン</t>
    </rPh>
    <rPh sb="21" eb="24">
      <t>タイショウガイ</t>
    </rPh>
    <rPh sb="25" eb="27">
      <t>サイガイ</t>
    </rPh>
    <rPh sb="27" eb="29">
      <t>タイサク</t>
    </rPh>
    <rPh sb="29" eb="31">
      <t>ホンブ</t>
    </rPh>
    <rPh sb="32" eb="34">
      <t>セッチ</t>
    </rPh>
    <rPh sb="36" eb="38">
      <t>バアイ</t>
    </rPh>
    <rPh sb="39" eb="41">
      <t>チョウフク</t>
    </rPh>
    <phoneticPr fontId="2"/>
  </si>
  <si>
    <t>生活系ごみＧで案を作成（災対本部と重複しないこと）</t>
    <rPh sb="0" eb="3">
      <t>セイカツケイ</t>
    </rPh>
    <rPh sb="7" eb="8">
      <t>アン</t>
    </rPh>
    <rPh sb="9" eb="11">
      <t>サクセイ</t>
    </rPh>
    <rPh sb="12" eb="16">
      <t>サイタイホンブ</t>
    </rPh>
    <rPh sb="17" eb="19">
      <t>チョウフク</t>
    </rPh>
    <phoneticPr fontId="2"/>
  </si>
  <si>
    <t>企画調整Gでの決定事項</t>
    <rPh sb="0" eb="2">
      <t>キカク</t>
    </rPh>
    <rPh sb="2" eb="4">
      <t>チョウセイ</t>
    </rPh>
    <rPh sb="7" eb="11">
      <t>ケッテイジコウ</t>
    </rPh>
    <phoneticPr fontId="2"/>
  </si>
  <si>
    <t>可動・不動</t>
    <rPh sb="0" eb="2">
      <t>カドウ</t>
    </rPh>
    <rPh sb="3" eb="5">
      <t>フドウ</t>
    </rPh>
    <phoneticPr fontId="2"/>
  </si>
  <si>
    <t>被災状況・参集可否</t>
    <rPh sb="0" eb="4">
      <t>ヒサイジョウキョウ</t>
    </rPh>
    <rPh sb="5" eb="9">
      <t>サンシュウカヒ</t>
    </rPh>
    <phoneticPr fontId="2"/>
  </si>
  <si>
    <t>被災状況・稼働可否</t>
    <rPh sb="0" eb="4">
      <t>ヒサイジョウキョウ</t>
    </rPh>
    <rPh sb="5" eb="7">
      <t>カドウ</t>
    </rPh>
    <rPh sb="7" eb="9">
      <t>カヒ</t>
    </rPh>
    <phoneticPr fontId="2"/>
  </si>
  <si>
    <t>天気情報の収集（水害、土砂災害のとき）</t>
    <rPh sb="0" eb="4">
      <t>テンキジョウホウ</t>
    </rPh>
    <rPh sb="5" eb="7">
      <t>シュウシュウ</t>
    </rPh>
    <rPh sb="8" eb="10">
      <t>スイガイ</t>
    </rPh>
    <rPh sb="11" eb="13">
      <t>ドシャ</t>
    </rPh>
    <rPh sb="13" eb="15">
      <t>サイガイ</t>
    </rPh>
    <phoneticPr fontId="2"/>
  </si>
  <si>
    <t>企画調整Ｇ、北海道に報告（環境省報告フォーマット）</t>
    <rPh sb="0" eb="2">
      <t>キカク</t>
    </rPh>
    <rPh sb="2" eb="4">
      <t>チョウセイ</t>
    </rPh>
    <rPh sb="6" eb="9">
      <t>ホッカイドウ</t>
    </rPh>
    <rPh sb="10" eb="12">
      <t>ホウコク</t>
    </rPh>
    <rPh sb="13" eb="16">
      <t>カンキョウショウ</t>
    </rPh>
    <rPh sb="16" eb="18">
      <t>ホウコク</t>
    </rPh>
    <phoneticPr fontId="2"/>
  </si>
  <si>
    <t>企画調整Ｇの指示による</t>
    <rPh sb="0" eb="4">
      <t>キカクチョウセイ</t>
    </rPh>
    <rPh sb="6" eb="8">
      <t>シジ</t>
    </rPh>
    <phoneticPr fontId="2"/>
  </si>
  <si>
    <t>腐敗の可能性判断</t>
    <rPh sb="0" eb="2">
      <t>フハイ</t>
    </rPh>
    <rPh sb="3" eb="8">
      <t>カノウセイハンダン</t>
    </rPh>
    <phoneticPr fontId="2"/>
  </si>
  <si>
    <t>被災棟数等を情報収集Ｇから入手</t>
    <rPh sb="0" eb="4">
      <t>ヒサイトウスウ</t>
    </rPh>
    <rPh sb="4" eb="5">
      <t>トウ</t>
    </rPh>
    <rPh sb="6" eb="8">
      <t>ジョウホウ</t>
    </rPh>
    <rPh sb="8" eb="10">
      <t>シュウシュウ</t>
    </rPh>
    <rPh sb="13" eb="15">
      <t>ニュウシュ</t>
    </rPh>
    <phoneticPr fontId="2"/>
  </si>
  <si>
    <t>仮置場の利用方法など</t>
    <rPh sb="0" eb="3">
      <t>カリオキバ</t>
    </rPh>
    <rPh sb="4" eb="8">
      <t>リヨウホウホウ</t>
    </rPh>
    <phoneticPr fontId="2"/>
  </si>
  <si>
    <t>資金（予算）の確保</t>
    <rPh sb="0" eb="2">
      <t>シキン</t>
    </rPh>
    <rPh sb="3" eb="5">
      <t>ヨサン</t>
    </rPh>
    <rPh sb="7" eb="9">
      <t>カクホ</t>
    </rPh>
    <phoneticPr fontId="2"/>
  </si>
  <si>
    <t>必要な場合</t>
    <rPh sb="0" eb="2">
      <t>ヒツヨウ</t>
    </rPh>
    <rPh sb="3" eb="5">
      <t>バアイ</t>
    </rPh>
    <phoneticPr fontId="2"/>
  </si>
  <si>
    <t>仮置場の設置と一括発注しないとき</t>
    <rPh sb="0" eb="3">
      <t>カリオキバ</t>
    </rPh>
    <rPh sb="4" eb="6">
      <t>セッチ</t>
    </rPh>
    <rPh sb="7" eb="9">
      <t>イッカツ</t>
    </rPh>
    <rPh sb="9" eb="11">
      <t>ハッチュウ</t>
    </rPh>
    <phoneticPr fontId="2"/>
  </si>
  <si>
    <t>　企画調整Ｇへ設置完了の報告</t>
    <rPh sb="1" eb="3">
      <t>キカク</t>
    </rPh>
    <rPh sb="3" eb="5">
      <t>チョウセイ</t>
    </rPh>
    <rPh sb="7" eb="11">
      <t>セッチカンリョウ</t>
    </rPh>
    <rPh sb="12" eb="14">
      <t>ホウコク</t>
    </rPh>
    <phoneticPr fontId="2"/>
  </si>
  <si>
    <t>受入可能な状態になったとき</t>
    <rPh sb="0" eb="2">
      <t>ウケイレ</t>
    </rPh>
    <rPh sb="2" eb="4">
      <t>カノウ</t>
    </rPh>
    <rPh sb="5" eb="7">
      <t>ジョウタイ</t>
    </rPh>
    <phoneticPr fontId="2"/>
  </si>
  <si>
    <t>生活系ごみＧ関連業務の支援要請</t>
    <rPh sb="0" eb="3">
      <t>セイカツケイ</t>
    </rPh>
    <rPh sb="6" eb="10">
      <t>カンレンギョウム</t>
    </rPh>
    <rPh sb="11" eb="13">
      <t>シエン</t>
    </rPh>
    <rPh sb="13" eb="15">
      <t>ヨウセイ</t>
    </rPh>
    <phoneticPr fontId="2"/>
  </si>
  <si>
    <t>災害廃棄物処理関連業務の支援要請</t>
    <rPh sb="0" eb="5">
      <t>サイガイハイキブツ</t>
    </rPh>
    <rPh sb="5" eb="7">
      <t>ショリ</t>
    </rPh>
    <rPh sb="7" eb="9">
      <t>カンレン</t>
    </rPh>
    <rPh sb="9" eb="11">
      <t>ギョウム</t>
    </rPh>
    <rPh sb="12" eb="14">
      <t>シエン</t>
    </rPh>
    <rPh sb="14" eb="16">
      <t>ヨウセイ</t>
    </rPh>
    <phoneticPr fontId="2"/>
  </si>
  <si>
    <r>
      <t>北海道へ被災状況、</t>
    </r>
    <r>
      <rPr>
        <sz val="9"/>
        <color rgb="FFFF0000"/>
        <rFont val="ＭＳ 明朝"/>
        <family val="1"/>
        <charset val="128"/>
      </rPr>
      <t>支援の要否の報告</t>
    </r>
    <rPh sb="0" eb="3">
      <t>ホッカイドウ</t>
    </rPh>
    <rPh sb="4" eb="8">
      <t>ヒサイジョウキョウ</t>
    </rPh>
    <rPh sb="9" eb="11">
      <t>シエン</t>
    </rPh>
    <rPh sb="12" eb="14">
      <t>ヨウヒ</t>
    </rPh>
    <rPh sb="15" eb="17">
      <t>ホウコク</t>
    </rPh>
    <phoneticPr fontId="2"/>
  </si>
  <si>
    <t>※黄色部分は、事前協定の中で民間事業者に依頼しておく方法もある</t>
    <rPh sb="1" eb="5">
      <t>キイロブブン</t>
    </rPh>
    <rPh sb="7" eb="11">
      <t>ジゼンキョウテイ</t>
    </rPh>
    <rPh sb="12" eb="13">
      <t>ナカ</t>
    </rPh>
    <rPh sb="14" eb="19">
      <t>ミンカンジギョウシャ</t>
    </rPh>
    <rPh sb="20" eb="22">
      <t>イライ</t>
    </rPh>
    <rPh sb="26" eb="28">
      <t>ホウホウ</t>
    </rPh>
    <phoneticPr fontId="2"/>
  </si>
  <si>
    <t>発災前に広報内容を決めておくと良い</t>
    <rPh sb="0" eb="3">
      <t>ハッサイマエ</t>
    </rPh>
    <rPh sb="4" eb="8">
      <t>コウホウナイヨウ</t>
    </rPh>
    <rPh sb="9" eb="10">
      <t>キ</t>
    </rPh>
    <rPh sb="15" eb="16">
      <t>ヨ</t>
    </rPh>
    <phoneticPr fontId="2"/>
  </si>
  <si>
    <t>黄色セル部分を協定で決めておくと良い</t>
    <rPh sb="0" eb="2">
      <t>キイロ</t>
    </rPh>
    <rPh sb="4" eb="6">
      <t>ブブン</t>
    </rPh>
    <rPh sb="7" eb="9">
      <t>キョウテイ</t>
    </rPh>
    <rPh sb="10" eb="11">
      <t>キ</t>
    </rPh>
    <rPh sb="16" eb="17">
      <t>ヨ</t>
    </rPh>
    <phoneticPr fontId="2"/>
  </si>
  <si>
    <t>黄色セルは協定を締結するなど、予め決めておくと良い</t>
    <rPh sb="0" eb="2">
      <t>キイロ</t>
    </rPh>
    <rPh sb="5" eb="7">
      <t>キョウテイ</t>
    </rPh>
    <rPh sb="8" eb="10">
      <t>テイケツ</t>
    </rPh>
    <rPh sb="15" eb="16">
      <t>アラカジ</t>
    </rPh>
    <rPh sb="17" eb="18">
      <t>キ</t>
    </rPh>
    <rPh sb="23" eb="24">
      <t>ヨ</t>
    </rPh>
    <phoneticPr fontId="2"/>
  </si>
  <si>
    <t>事前協定で、一括発注できるようにしておくと良い</t>
    <rPh sb="0" eb="4">
      <t>ジゼンキョウテイ</t>
    </rPh>
    <rPh sb="6" eb="8">
      <t>イッカツ</t>
    </rPh>
    <rPh sb="8" eb="10">
      <t>ハッチュウ</t>
    </rPh>
    <rPh sb="21" eb="22">
      <t>ヨ</t>
    </rPh>
    <phoneticPr fontId="2"/>
  </si>
  <si>
    <t>発災初期（～１，２週間程度）は公費解体までは進まないと考えられる。</t>
    <rPh sb="0" eb="4">
      <t>ハッサイショキ</t>
    </rPh>
    <rPh sb="9" eb="13">
      <t>シュウカンテイド</t>
    </rPh>
    <rPh sb="15" eb="19">
      <t>コウヒカイタイ</t>
    </rPh>
    <rPh sb="22" eb="23">
      <t>スス</t>
    </rPh>
    <rPh sb="27" eb="28">
      <t>カンガ</t>
    </rPh>
    <phoneticPr fontId="2"/>
  </si>
  <si>
    <r>
      <t>※市町村が半壊建物の解体廃棄物を</t>
    </r>
    <r>
      <rPr>
        <sz val="9"/>
        <color rgb="FFFF0000"/>
        <rFont val="HGPｺﾞｼｯｸM"/>
        <family val="3"/>
        <charset val="128"/>
      </rPr>
      <t>処理しない場合</t>
    </r>
    <r>
      <rPr>
        <sz val="9"/>
        <color rgb="FF000000"/>
        <rFont val="HGPｺﾞｼｯｸM"/>
        <family val="3"/>
        <charset val="128"/>
      </rPr>
      <t>は半壊建物解体率をゼロに設定するなど実態に合わせて
　　半壊建物解体率を修正することとする。</t>
    </r>
    <phoneticPr fontId="18"/>
  </si>
  <si>
    <t>災害対策本部を通じて、どのような業務を行う者が、何名必要か不足人員について発災初期から要請すること</t>
    <rPh sb="0" eb="4">
      <t>サイガイタイサク</t>
    </rPh>
    <rPh sb="4" eb="6">
      <t>ホンブ</t>
    </rPh>
    <rPh sb="7" eb="8">
      <t>ツウ</t>
    </rPh>
    <rPh sb="16" eb="18">
      <t>ギョウム</t>
    </rPh>
    <rPh sb="19" eb="20">
      <t>オコナ</t>
    </rPh>
    <rPh sb="21" eb="22">
      <t>モノ</t>
    </rPh>
    <rPh sb="24" eb="26">
      <t>ナンメイ</t>
    </rPh>
    <rPh sb="26" eb="28">
      <t>ヒツヨウ</t>
    </rPh>
    <rPh sb="29" eb="31">
      <t>フソク</t>
    </rPh>
    <rPh sb="31" eb="33">
      <t>ジンイン</t>
    </rPh>
    <rPh sb="37" eb="41">
      <t>ハッサイショキ</t>
    </rPh>
    <rPh sb="43" eb="45">
      <t>ヨウセイ</t>
    </rPh>
    <phoneticPr fontId="2"/>
  </si>
  <si>
    <t>②民間グループは、収集運搬、仮置場の管理、処理の提案</t>
    <phoneticPr fontId="2"/>
  </si>
  <si>
    <t>③企画調整グループは、庁内で提案の採否・決定</t>
    <phoneticPr fontId="2"/>
  </si>
  <si>
    <t>④仮置場以降の時間的余裕がある委託は入札</t>
    <phoneticPr fontId="2"/>
  </si>
  <si>
    <t>協定先との事前調整・仮置場設置場所・ﾚｲｱｳﾄ（必要資機材）</t>
    <phoneticPr fontId="2"/>
  </si>
  <si>
    <t>・収集運搬体制（戸別回収にするか、仮置場持込にするか）</t>
    <phoneticPr fontId="2"/>
  </si>
  <si>
    <t>協定確認（災対本部のリース有無の確認）</t>
    <rPh sb="0" eb="2">
      <t>キョウテイ</t>
    </rPh>
    <rPh sb="2" eb="4">
      <t>カクニン</t>
    </rPh>
    <rPh sb="5" eb="9">
      <t>サイタイホンブ</t>
    </rPh>
    <rPh sb="13" eb="15">
      <t>ウム</t>
    </rPh>
    <rPh sb="16" eb="18">
      <t>カクニン</t>
    </rPh>
    <phoneticPr fontId="2"/>
  </si>
  <si>
    <t>焼却余力（t/年）</t>
    <rPh sb="0" eb="2">
      <t>ショウキャク</t>
    </rPh>
    <rPh sb="2" eb="4">
      <t>ヨリョク</t>
    </rPh>
    <rPh sb="7" eb="8">
      <t>ネン</t>
    </rPh>
    <phoneticPr fontId="2"/>
  </si>
  <si>
    <t>　余力（ｔ/処理期間）</t>
    <rPh sb="1" eb="3">
      <t>ヨリョク</t>
    </rPh>
    <rPh sb="6" eb="10">
      <t>ショリキカン</t>
    </rPh>
    <phoneticPr fontId="18"/>
  </si>
  <si>
    <t>ｔ/処理期間</t>
    <rPh sb="2" eb="6">
      <t>ショリキカン</t>
    </rPh>
    <phoneticPr fontId="2"/>
  </si>
  <si>
    <t>平時施設での処理量（ｔ/処理期間）</t>
    <rPh sb="0" eb="4">
      <t>ヘイジシセツ</t>
    </rPh>
    <rPh sb="6" eb="9">
      <t>ショリリョウ</t>
    </rPh>
    <rPh sb="12" eb="16">
      <t>ショリキカン</t>
    </rPh>
    <phoneticPr fontId="2"/>
  </si>
  <si>
    <t>運搬能力不足（被災場所～一次j仮置場）</t>
    <rPh sb="0" eb="4">
      <t>ウンパンノウリョク</t>
    </rPh>
    <rPh sb="4" eb="6">
      <t>フソク</t>
    </rPh>
    <rPh sb="7" eb="11">
      <t>ヒサイバショ</t>
    </rPh>
    <rPh sb="12" eb="14">
      <t>イチジ</t>
    </rPh>
    <rPh sb="15" eb="18">
      <t>カリオキバ</t>
    </rPh>
    <phoneticPr fontId="2"/>
  </si>
  <si>
    <t>余力処理期間</t>
    <rPh sb="0" eb="2">
      <t>ヨリョク</t>
    </rPh>
    <rPh sb="2" eb="6">
      <t>ショリキカン</t>
    </rPh>
    <phoneticPr fontId="2"/>
  </si>
  <si>
    <t>共同割合</t>
    <rPh sb="0" eb="2">
      <t>キョウドウ</t>
    </rPh>
    <rPh sb="2" eb="4">
      <t>ワリアイ</t>
    </rPh>
    <phoneticPr fontId="2"/>
  </si>
  <si>
    <t>し尿処理能力不足</t>
    <rPh sb="1" eb="4">
      <t>ニョウショリ</t>
    </rPh>
    <rPh sb="4" eb="8">
      <t>ノウリョクブソク</t>
    </rPh>
    <phoneticPr fontId="2"/>
  </si>
  <si>
    <t>余力-発生量（ｋL/年）</t>
    <rPh sb="0" eb="2">
      <t>ヨリョク</t>
    </rPh>
    <rPh sb="3" eb="6">
      <t>ハッセイリョウ</t>
    </rPh>
    <rPh sb="10" eb="11">
      <t>ネン</t>
    </rPh>
    <phoneticPr fontId="2"/>
  </si>
  <si>
    <t>余力-発生量（ｋL/年）共同</t>
    <rPh sb="0" eb="2">
      <t>ヨリョク</t>
    </rPh>
    <rPh sb="3" eb="6">
      <t>ハッセイリョウ</t>
    </rPh>
    <rPh sb="10" eb="11">
      <t>ネン</t>
    </rPh>
    <rPh sb="12" eb="14">
      <t>キョウドウ</t>
    </rPh>
    <phoneticPr fontId="2"/>
  </si>
  <si>
    <t>　計算式に発災時に調整する部分があるので注意！</t>
    <rPh sb="1" eb="4">
      <t>ケイサンシキ</t>
    </rPh>
    <rPh sb="5" eb="8">
      <t>ハッサイジ</t>
    </rPh>
    <rPh sb="9" eb="11">
      <t>チョウセイ</t>
    </rPh>
    <rPh sb="13" eb="15">
      <t>ブブン</t>
    </rPh>
    <rPh sb="20" eb="22">
      <t>チュウイ</t>
    </rPh>
    <phoneticPr fontId="2"/>
  </si>
  <si>
    <t>　〃　土砂（津波堆積物）</t>
    <rPh sb="3" eb="5">
      <t>ドシャ</t>
    </rPh>
    <rPh sb="6" eb="11">
      <t>ツナミタイセキブツ</t>
    </rPh>
    <phoneticPr fontId="2"/>
  </si>
  <si>
    <t>処理能力不足（ｍ３≒ｔ）</t>
    <rPh sb="0" eb="6">
      <t>ショリノウリョクブソク</t>
    </rPh>
    <phoneticPr fontId="2"/>
  </si>
  <si>
    <t>発災初期は、公費解体まで進まないと考えられる</t>
    <rPh sb="0" eb="2">
      <t>ハッサイ</t>
    </rPh>
    <rPh sb="2" eb="4">
      <t>ショキ</t>
    </rPh>
    <rPh sb="6" eb="10">
      <t>コウヒカイタイ</t>
    </rPh>
    <rPh sb="12" eb="13">
      <t>スス</t>
    </rPh>
    <rPh sb="17" eb="18">
      <t>カンガ</t>
    </rPh>
    <phoneticPr fontId="2"/>
  </si>
  <si>
    <t>えりも町</t>
  </si>
  <si>
    <t>えりも町</t>
    <rPh sb="3" eb="4">
      <t>チョウ</t>
    </rPh>
    <phoneticPr fontId="2"/>
  </si>
  <si>
    <t>市町村</t>
    <rPh sb="0" eb="3">
      <t>シチョウソン</t>
    </rPh>
    <phoneticPr fontId="18"/>
  </si>
  <si>
    <t>木造</t>
    <rPh sb="0" eb="2">
      <t>モクゾウ</t>
    </rPh>
    <phoneticPr fontId="18"/>
  </si>
  <si>
    <t>以外</t>
    <rPh sb="0" eb="2">
      <t>イガイ</t>
    </rPh>
    <phoneticPr fontId="18"/>
  </si>
  <si>
    <t>R3総務省ﾃﾞｰﾀ</t>
    <rPh sb="2" eb="5">
      <t>ソウムショウ</t>
    </rPh>
    <phoneticPr fontId="18"/>
  </si>
  <si>
    <t>せたな町</t>
  </si>
  <si>
    <t>ニセコ町</t>
  </si>
  <si>
    <t>むかわ町</t>
  </si>
  <si>
    <t>愛別町</t>
  </si>
  <si>
    <t>旭川市</t>
  </si>
  <si>
    <t>芦別市</t>
  </si>
  <si>
    <t>安平町</t>
  </si>
  <si>
    <t>伊達市</t>
  </si>
  <si>
    <t>羽幌町</t>
  </si>
  <si>
    <t>雨竜町</t>
  </si>
  <si>
    <t>浦臼町</t>
  </si>
  <si>
    <t>浦河町</t>
  </si>
  <si>
    <t>浦幌町</t>
  </si>
  <si>
    <t>猿払村</t>
  </si>
  <si>
    <t>遠軽町</t>
  </si>
  <si>
    <t>遠別町</t>
  </si>
  <si>
    <t>奥尻町</t>
  </si>
  <si>
    <t>乙部町</t>
  </si>
  <si>
    <t>音威子府村</t>
  </si>
  <si>
    <t>音更町</t>
  </si>
  <si>
    <t>下川町</t>
  </si>
  <si>
    <t>歌志内市</t>
  </si>
  <si>
    <t>芽室町</t>
  </si>
  <si>
    <t>岩見沢市</t>
  </si>
  <si>
    <t>岩内町</t>
  </si>
  <si>
    <t>喜茂別町</t>
  </si>
  <si>
    <t>京極町</t>
  </si>
  <si>
    <t>共和町</t>
  </si>
  <si>
    <t>興部町</t>
  </si>
  <si>
    <t>倶知安町</t>
  </si>
  <si>
    <t>釧路市</t>
  </si>
  <si>
    <t>釧路町</t>
  </si>
  <si>
    <t>栗山町</t>
  </si>
  <si>
    <t>訓子府町</t>
  </si>
  <si>
    <t>恵庭市</t>
  </si>
  <si>
    <t>月形町</t>
  </si>
  <si>
    <t>剣淵町</t>
  </si>
  <si>
    <t>古平町</t>
  </si>
  <si>
    <t>厚岸町</t>
  </si>
  <si>
    <t>厚真町</t>
  </si>
  <si>
    <t>厚沢部町</t>
  </si>
  <si>
    <t>広尾町</t>
  </si>
  <si>
    <t>更別村</t>
  </si>
  <si>
    <t>江差町</t>
  </si>
  <si>
    <t>江別市</t>
  </si>
  <si>
    <t>黒松内町</t>
  </si>
  <si>
    <t>今金町</t>
  </si>
  <si>
    <t>根室市</t>
  </si>
  <si>
    <t>佐呂間町</t>
  </si>
  <si>
    <t>砂川市</t>
  </si>
  <si>
    <t>札幌市</t>
  </si>
  <si>
    <t>三笠市</t>
  </si>
  <si>
    <t>士別市</t>
  </si>
  <si>
    <t>士幌町</t>
  </si>
  <si>
    <t>枝幸町</t>
  </si>
  <si>
    <t>鹿追町</t>
  </si>
  <si>
    <t>鹿部町</t>
  </si>
  <si>
    <t>七飯町</t>
  </si>
  <si>
    <t>室蘭市</t>
  </si>
  <si>
    <t>斜里町</t>
  </si>
  <si>
    <t>寿都町</t>
  </si>
  <si>
    <t>初山別村</t>
  </si>
  <si>
    <t>小清水町</t>
  </si>
  <si>
    <t>小樽市</t>
  </si>
  <si>
    <t>小平町</t>
  </si>
  <si>
    <t>松前町</t>
  </si>
  <si>
    <t>沼田町</t>
  </si>
  <si>
    <t>上ノ国町</t>
  </si>
  <si>
    <t>上砂川町</t>
  </si>
  <si>
    <t>上士幌町</t>
  </si>
  <si>
    <t>上川町</t>
  </si>
  <si>
    <t>上富良野町</t>
  </si>
  <si>
    <t>新ひだか町</t>
  </si>
  <si>
    <t>新冠町</t>
  </si>
  <si>
    <t>新篠津村</t>
  </si>
  <si>
    <t>新十津川町</t>
  </si>
  <si>
    <t>新得町</t>
  </si>
  <si>
    <t>森町</t>
  </si>
  <si>
    <t>深川市</t>
  </si>
  <si>
    <t>真狩村</t>
  </si>
  <si>
    <t>神恵内村</t>
  </si>
  <si>
    <t>仁木町</t>
  </si>
  <si>
    <t>清水町</t>
  </si>
  <si>
    <t>清里町</t>
  </si>
  <si>
    <t>西興部村</t>
  </si>
  <si>
    <t>石狩市</t>
  </si>
  <si>
    <t>積丹町</t>
  </si>
  <si>
    <t>赤井川村</t>
  </si>
  <si>
    <t>赤平市</t>
  </si>
  <si>
    <t>千歳市</t>
  </si>
  <si>
    <t>占冠村</t>
  </si>
  <si>
    <t>壮瞥町</t>
  </si>
  <si>
    <t>増毛町</t>
  </si>
  <si>
    <t>足寄町</t>
  </si>
  <si>
    <t>帯広市</t>
  </si>
  <si>
    <t>大空町</t>
  </si>
  <si>
    <t>大樹町</t>
  </si>
  <si>
    <t>鷹栖町</t>
  </si>
  <si>
    <t>滝上町</t>
  </si>
  <si>
    <t>滝川市</t>
  </si>
  <si>
    <t>知内町</t>
  </si>
  <si>
    <t>池田町</t>
  </si>
  <si>
    <t>稚内市</t>
  </si>
  <si>
    <t>置戸町</t>
  </si>
  <si>
    <t>秩父別町</t>
  </si>
  <si>
    <t>中札内村</t>
  </si>
  <si>
    <t>中川町</t>
  </si>
  <si>
    <t>中頓別町</t>
  </si>
  <si>
    <t>中標津町</t>
  </si>
  <si>
    <t>中富良野町</t>
  </si>
  <si>
    <t>長沼町</t>
  </si>
  <si>
    <t>長万部町</t>
  </si>
  <si>
    <t>津別町</t>
  </si>
  <si>
    <t>鶴居村</t>
  </si>
  <si>
    <t>弟子屈町</t>
  </si>
  <si>
    <t>天塩町</t>
  </si>
  <si>
    <t>登別市</t>
  </si>
  <si>
    <t>島牧村</t>
  </si>
  <si>
    <t>東神楽町</t>
  </si>
  <si>
    <t>東川町</t>
  </si>
  <si>
    <t>当別町</t>
  </si>
  <si>
    <t>当麻町</t>
  </si>
  <si>
    <t>洞爺湖町</t>
  </si>
  <si>
    <t>苫小牧市</t>
  </si>
  <si>
    <t>苫前町</t>
  </si>
  <si>
    <t>奈井江町</t>
  </si>
  <si>
    <t>南富良野町</t>
  </si>
  <si>
    <t>南幌町</t>
  </si>
  <si>
    <t>日高町</t>
  </si>
  <si>
    <t>泊村</t>
  </si>
  <si>
    <t>白糠町</t>
  </si>
  <si>
    <t>白老町</t>
  </si>
  <si>
    <t>函館市</t>
  </si>
  <si>
    <t>八雲町</t>
  </si>
  <si>
    <t>比布町</t>
  </si>
  <si>
    <t>美唄市</t>
  </si>
  <si>
    <t>美瑛町</t>
  </si>
  <si>
    <t>美深町</t>
  </si>
  <si>
    <t>美幌町</t>
  </si>
  <si>
    <t>標茶町</t>
  </si>
  <si>
    <t>標津町</t>
  </si>
  <si>
    <t>浜中町</t>
  </si>
  <si>
    <t>浜頓別町</t>
  </si>
  <si>
    <t>富良野市</t>
  </si>
  <si>
    <t>福島町</t>
  </si>
  <si>
    <t>平取町</t>
  </si>
  <si>
    <t>別海町</t>
  </si>
  <si>
    <t>豊浦町</t>
  </si>
  <si>
    <t>豊頃町</t>
  </si>
  <si>
    <t>豊富町</t>
  </si>
  <si>
    <t>北見市</t>
  </si>
  <si>
    <t>北広島市</t>
  </si>
  <si>
    <t>北斗市</t>
  </si>
  <si>
    <t>北竜町</t>
  </si>
  <si>
    <t>幌延町</t>
  </si>
  <si>
    <t>幌加内町</t>
  </si>
  <si>
    <t>本別町</t>
  </si>
  <si>
    <t>妹背牛町</t>
  </si>
  <si>
    <t>幕別町</t>
  </si>
  <si>
    <t>名寄市</t>
  </si>
  <si>
    <t>網走市</t>
  </si>
  <si>
    <t>木古内町</t>
  </si>
  <si>
    <t>紋別市</t>
  </si>
  <si>
    <t>湧別町</t>
  </si>
  <si>
    <t>由仁町</t>
  </si>
  <si>
    <t>雄武町</t>
  </si>
  <si>
    <t>夕張市</t>
  </si>
  <si>
    <t>余市町</t>
  </si>
  <si>
    <t>様似町</t>
  </si>
  <si>
    <t>羅臼町</t>
  </si>
  <si>
    <t>蘭越町</t>
  </si>
  <si>
    <t>利尻町</t>
  </si>
  <si>
    <t>利尻富士町</t>
  </si>
  <si>
    <t>陸別町</t>
  </si>
  <si>
    <t>留寿都村</t>
  </si>
  <si>
    <t>留萌市</t>
  </si>
  <si>
    <t>礼文町</t>
  </si>
  <si>
    <t>和寒町</t>
  </si>
  <si>
    <t>被害棟数＜1000</t>
    <rPh sb="0" eb="2">
      <t>ヒガイ</t>
    </rPh>
    <rPh sb="2" eb="4">
      <t>トウスウ</t>
    </rPh>
    <phoneticPr fontId="18"/>
  </si>
  <si>
    <t>参考</t>
    <rPh sb="0" eb="2">
      <t>サンコウ</t>
    </rPh>
    <phoneticPr fontId="2"/>
  </si>
  <si>
    <t>片付けごみの仮置き面積（ｍ２）</t>
    <rPh sb="0" eb="2">
      <t>カタヅ</t>
    </rPh>
    <rPh sb="6" eb="8">
      <t>カリオ</t>
    </rPh>
    <rPh sb="9" eb="11">
      <t>メンセキ</t>
    </rPh>
    <phoneticPr fontId="2"/>
  </si>
  <si>
    <t>a（木造）</t>
    <rPh sb="2" eb="4">
      <t>モクゾウ</t>
    </rPh>
    <phoneticPr fontId="18"/>
  </si>
  <si>
    <t>木造焼失</t>
    <rPh sb="0" eb="2">
      <t>モクゾウ</t>
    </rPh>
    <rPh sb="2" eb="4">
      <t>ショウシツ</t>
    </rPh>
    <phoneticPr fontId="18"/>
  </si>
  <si>
    <t>非木造焼失</t>
    <rPh sb="0" eb="1">
      <t>ヒ</t>
    </rPh>
    <rPh sb="1" eb="3">
      <t>モクゾウ</t>
    </rPh>
    <rPh sb="3" eb="5">
      <t>ショウシツ</t>
    </rPh>
    <phoneticPr fontId="18"/>
  </si>
  <si>
    <t>a（非木造）</t>
    <rPh sb="2" eb="3">
      <t>ヒ</t>
    </rPh>
    <rPh sb="3" eb="5">
      <t>モクゾウ</t>
    </rPh>
    <phoneticPr fontId="18"/>
  </si>
  <si>
    <t>焼失による解体廃棄物</t>
    <rPh sb="0" eb="2">
      <t>ショウシツ</t>
    </rPh>
    <rPh sb="5" eb="7">
      <t>カイタイ</t>
    </rPh>
    <rPh sb="7" eb="10">
      <t>ハイキブツ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</si>
</sst>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第&quot;##&quot;報（&quot;"/>
    <numFmt numFmtId="177" formatCode="h:mm&quot;）現在&quot;"/>
    <numFmt numFmtId="178" formatCode="#,###.0&quot; ㎡&quot;"/>
    <numFmt numFmtId="179" formatCode="#,##0_ "/>
    <numFmt numFmtId="180" formatCode="#,##0.0_ "/>
    <numFmt numFmtId="181" formatCode="#,##0_);[Red]\(#,##0\)"/>
    <numFmt numFmtId="182" formatCode="#,##0.0;[Red]\-#,##0.0"/>
    <numFmt numFmtId="183" formatCode="0.0%"/>
    <numFmt numFmtId="184" formatCode="0.00_);[Red]\(0.00\)"/>
    <numFmt numFmtId="185" formatCode="0.0_);[Red]\(0.0\)"/>
    <numFmt numFmtId="186" formatCode="0_);[Red]\(0\)"/>
    <numFmt numFmtId="187" formatCode="0.0"/>
  </numFmts>
  <fonts count="49">
    <font>
      <sz val="11"/>
      <color theme="1"/>
      <name val="Yu Gothic"/>
      <family val="2"/>
      <scheme val="minor"/>
    </font>
    <font>
      <sz val="11"/>
      <color theme="1"/>
      <name val="Yu Gothic"/>
      <family val="2"/>
      <charset val="128"/>
      <scheme val="minor"/>
    </font>
    <font>
      <sz val="6"/>
      <name val="Yu Gothic"/>
      <family val="3"/>
      <charset val="128"/>
      <scheme val="minor"/>
    </font>
    <font>
      <sz val="9"/>
      <color theme="1"/>
      <name val="Meiryo UI"/>
      <family val="3"/>
      <charset val="128"/>
    </font>
    <font>
      <b/>
      <sz val="12"/>
      <color theme="1"/>
      <name val="Meiryo UI"/>
      <family val="3"/>
      <charset val="128"/>
    </font>
    <font>
      <u/>
      <sz val="9"/>
      <color theme="1"/>
      <name val="Meiryo UI"/>
      <family val="3"/>
      <charset val="128"/>
    </font>
    <font>
      <sz val="6"/>
      <color theme="1"/>
      <name val="Meiryo UI"/>
      <family val="3"/>
      <charset val="128"/>
    </font>
    <font>
      <b/>
      <sz val="11"/>
      <color theme="1"/>
      <name val="Meiryo UI"/>
      <family val="3"/>
      <charset val="128"/>
    </font>
    <font>
      <sz val="8"/>
      <color theme="1"/>
      <name val="Meiryo UI"/>
      <family val="3"/>
      <charset val="128"/>
    </font>
    <font>
      <sz val="9"/>
      <color rgb="FFFF0000"/>
      <name val="Meiryo UI"/>
      <family val="3"/>
      <charset val="128"/>
    </font>
    <font>
      <sz val="9"/>
      <color theme="8" tint="-0.249977111117893"/>
      <name val="Meiryo UI"/>
      <family val="3"/>
      <charset val="128"/>
    </font>
    <font>
      <b/>
      <u/>
      <sz val="9"/>
      <color theme="8" tint="-0.249977111117893"/>
      <name val="Meiryo UI"/>
      <family val="3"/>
      <charset val="128"/>
    </font>
    <font>
      <sz val="8"/>
      <color rgb="FFFF0000"/>
      <name val="Meiryo UI"/>
      <family val="3"/>
      <charset val="128"/>
    </font>
    <font>
      <u/>
      <sz val="11"/>
      <color theme="10"/>
      <name val="Yu Gothic"/>
      <family val="2"/>
      <scheme val="minor"/>
    </font>
    <font>
      <u/>
      <sz val="9"/>
      <color theme="10"/>
      <name val="Meiryo UI"/>
      <family val="3"/>
      <charset val="128"/>
    </font>
    <font>
      <b/>
      <sz val="9"/>
      <color theme="1"/>
      <name val="Meiryo UI"/>
      <family val="3"/>
      <charset val="128"/>
    </font>
    <font>
      <sz val="11"/>
      <color theme="1"/>
      <name val="Yu Gothic"/>
      <family val="2"/>
      <scheme val="minor"/>
    </font>
    <font>
      <sz val="10"/>
      <color rgb="FF000000"/>
      <name val="Times New Roman"/>
      <family val="1"/>
    </font>
    <font>
      <sz val="6"/>
      <name val="Yu Gothic"/>
      <family val="2"/>
      <charset val="128"/>
      <scheme val="minor"/>
    </font>
    <font>
      <sz val="6"/>
      <name val="ＭＳ Ｐゴシック"/>
      <family val="3"/>
      <charset val="128"/>
    </font>
    <font>
      <sz val="6"/>
      <name val="HGPｺﾞｼｯｸM"/>
      <family val="3"/>
      <charset val="128"/>
    </font>
    <font>
      <sz val="11"/>
      <name val="ＭＳ 明朝"/>
      <family val="1"/>
      <charset val="128"/>
    </font>
    <font>
      <sz val="10"/>
      <name val="ＭＳ 明朝"/>
      <family val="1"/>
      <charset val="128"/>
    </font>
    <font>
      <sz val="10"/>
      <color theme="1"/>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9"/>
      <color rgb="FF000000"/>
      <name val="ＭＳ 明朝"/>
      <family val="1"/>
      <charset val="128"/>
    </font>
    <font>
      <sz val="9"/>
      <color rgb="FF000000"/>
      <name val="HGPｺﾞｼｯｸM"/>
      <family val="3"/>
      <charset val="128"/>
    </font>
    <font>
      <sz val="9"/>
      <color theme="1"/>
      <name val="HGPｺﾞｼｯｸM"/>
      <family val="3"/>
      <charset val="128"/>
    </font>
    <font>
      <vertAlign val="superscript"/>
      <sz val="9"/>
      <color rgb="FF000000"/>
      <name val="HGPｺﾞｼｯｸM"/>
      <family val="3"/>
      <charset val="128"/>
    </font>
    <font>
      <sz val="9"/>
      <color theme="1" tint="0.499984740745262"/>
      <name val="HGPｺﾞｼｯｸM"/>
      <family val="3"/>
      <charset val="128"/>
    </font>
    <font>
      <sz val="9"/>
      <name val="HGPｺﾞｼｯｸM"/>
      <family val="3"/>
      <charset val="128"/>
    </font>
    <font>
      <vertAlign val="superscript"/>
      <sz val="9"/>
      <color theme="1"/>
      <name val="HGPｺﾞｼｯｸM"/>
      <family val="3"/>
      <charset val="128"/>
    </font>
    <font>
      <sz val="9"/>
      <color theme="1"/>
      <name val="HGS創英角ｺﾞｼｯｸUB"/>
      <family val="3"/>
      <charset val="128"/>
    </font>
    <font>
      <sz val="12"/>
      <color rgb="FFFF0000"/>
      <name val="HG創英角ｺﾞｼｯｸUB"/>
      <family val="3"/>
      <charset val="128"/>
    </font>
    <font>
      <sz val="9"/>
      <color rgb="FFFF0000"/>
      <name val="HGPｺﾞｼｯｸM"/>
      <family val="3"/>
      <charset val="128"/>
    </font>
    <font>
      <sz val="10.5"/>
      <color rgb="FFFF0000"/>
      <name val="ＭＳ 明朝"/>
      <family val="1"/>
      <charset val="128"/>
    </font>
    <font>
      <sz val="9"/>
      <color rgb="FFFF0000"/>
      <name val="ＭＳ 明朝"/>
      <family val="1"/>
      <charset val="128"/>
    </font>
    <font>
      <sz val="10.5"/>
      <name val="ＭＳ 明朝"/>
      <family val="1"/>
      <charset val="128"/>
    </font>
    <font>
      <sz val="10"/>
      <color rgb="FFFF0000"/>
      <name val="ＭＳ 明朝"/>
      <family val="1"/>
      <charset val="128"/>
    </font>
    <font>
      <sz val="10.5"/>
      <color theme="1"/>
      <name val="ＭＳ 明朝"/>
      <family val="1"/>
      <charset val="128"/>
    </font>
    <font>
      <sz val="11"/>
      <color theme="1"/>
      <name val="HGPｺﾞｼｯｸM"/>
      <family val="3"/>
      <charset val="128"/>
    </font>
    <font>
      <sz val="9"/>
      <color rgb="FF000000"/>
      <name val="HGSｺﾞｼｯｸM"/>
      <family val="3"/>
      <charset val="128"/>
    </font>
    <font>
      <sz val="9"/>
      <color theme="1"/>
      <name val="HGSｺﾞｼｯｸM"/>
      <family val="3"/>
      <charset val="128"/>
    </font>
    <font>
      <vertAlign val="superscript"/>
      <sz val="9"/>
      <name val="HGPｺﾞｼｯｸM"/>
      <family val="3"/>
      <charset val="128"/>
    </font>
    <font>
      <sz val="9"/>
      <color rgb="FF000000"/>
      <name val="Calibri"/>
      <family val="3"/>
    </font>
    <font>
      <sz val="11"/>
      <color rgb="FFFF0000"/>
      <name val="Yu Gothic"/>
      <family val="2"/>
      <scheme val="minor"/>
    </font>
    <font>
      <sz val="11"/>
      <color rgb="FF000000"/>
      <name val="HGPｺﾞｼｯｸM"/>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4">
    <xf numFmtId="0" fontId="0" fillId="0" borderId="0"/>
    <xf numFmtId="0" fontId="1"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xf numFmtId="0" fontId="21" fillId="0" borderId="0">
      <alignment vertical="center"/>
    </xf>
    <xf numFmtId="0" fontId="22" fillId="0" borderId="0"/>
    <xf numFmtId="0" fontId="23" fillId="0" borderId="0">
      <alignment vertical="center"/>
    </xf>
    <xf numFmtId="0" fontId="24" fillId="0" borderId="0"/>
    <xf numFmtId="0" fontId="24" fillId="0" borderId="0">
      <alignment vertical="center"/>
    </xf>
    <xf numFmtId="38" fontId="24" fillId="0" borderId="0" applyFont="0" applyFill="0" applyBorder="0" applyAlignment="0" applyProtection="0">
      <alignment vertical="center"/>
    </xf>
  </cellStyleXfs>
  <cellXfs count="394">
    <xf numFmtId="0" fontId="0" fillId="0" borderId="0" xfId="0"/>
    <xf numFmtId="0" fontId="3" fillId="0" borderId="0" xfId="0" applyFont="1"/>
    <xf numFmtId="0" fontId="4" fillId="0" borderId="0" xfId="0" applyFont="1" applyAlignment="1">
      <alignment horizontal="centerContinuous"/>
    </xf>
    <xf numFmtId="0" fontId="4" fillId="0" borderId="0" xfId="0" applyFont="1"/>
    <xf numFmtId="0" fontId="5" fillId="0" borderId="0" xfId="0" applyFont="1" applyAlignment="1">
      <alignment horizontal="right"/>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center" vertical="center"/>
    </xf>
    <xf numFmtId="0" fontId="7" fillId="0" borderId="0" xfId="0" applyFont="1"/>
    <xf numFmtId="0" fontId="6" fillId="3"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4" borderId="5" xfId="0" applyFont="1" applyFill="1" applyBorder="1" applyAlignment="1">
      <alignment horizontal="center" vertical="center"/>
    </xf>
    <xf numFmtId="0" fontId="9" fillId="0" borderId="5" xfId="0" applyFont="1" applyBorder="1" applyAlignment="1">
      <alignment horizontal="center" vertical="center" shrinkToFit="1"/>
    </xf>
    <xf numFmtId="178" fontId="9" fillId="0" borderId="5" xfId="0" applyNumberFormat="1" applyFont="1" applyBorder="1" applyAlignment="1">
      <alignment horizontal="right" vertical="center" shrinkToFit="1"/>
    </xf>
    <xf numFmtId="9" fontId="9" fillId="0" borderId="5" xfId="0" applyNumberFormat="1" applyFont="1" applyBorder="1" applyAlignment="1">
      <alignment horizontal="center" vertical="center"/>
    </xf>
    <xf numFmtId="14" fontId="9" fillId="0" borderId="5" xfId="0" applyNumberFormat="1" applyFont="1" applyBorder="1" applyAlignment="1">
      <alignment vertical="center" shrinkToFit="1"/>
    </xf>
    <xf numFmtId="0" fontId="9" fillId="0" borderId="5" xfId="0" applyFont="1" applyBorder="1" applyAlignment="1">
      <alignment vertical="center" shrinkToFit="1"/>
    </xf>
    <xf numFmtId="0" fontId="9" fillId="0" borderId="5" xfId="0" applyFont="1" applyBorder="1" applyAlignment="1">
      <alignment horizontal="center" vertical="center" wrapText="1"/>
    </xf>
    <xf numFmtId="0" fontId="9" fillId="0" borderId="0" xfId="0" applyFont="1" applyAlignment="1">
      <alignment vertical="center"/>
    </xf>
    <xf numFmtId="0" fontId="9" fillId="0" borderId="5" xfId="0" applyFont="1" applyBorder="1" applyAlignment="1">
      <alignment horizontal="center" vertical="center"/>
    </xf>
    <xf numFmtId="3" fontId="9" fillId="6" borderId="5" xfId="0" applyNumberFormat="1" applyFont="1" applyFill="1" applyBorder="1" applyAlignment="1">
      <alignment horizontal="right" vertical="center"/>
    </xf>
    <xf numFmtId="0" fontId="9" fillId="6" borderId="5" xfId="0" applyFont="1" applyFill="1" applyBorder="1" applyAlignment="1">
      <alignment horizontal="center" vertical="center"/>
    </xf>
    <xf numFmtId="0" fontId="3" fillId="5" borderId="5" xfId="0" applyFont="1" applyFill="1" applyBorder="1" applyAlignment="1">
      <alignment horizontal="center" vertical="center"/>
    </xf>
    <xf numFmtId="0" fontId="9" fillId="0" borderId="1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xf>
    <xf numFmtId="0" fontId="9" fillId="0" borderId="17" xfId="0" applyFont="1" applyBorder="1" applyAlignment="1">
      <alignment horizontal="center" vertical="center" shrinkToFit="1"/>
    </xf>
    <xf numFmtId="0" fontId="9" fillId="0" borderId="16" xfId="0" applyFont="1" applyBorder="1" applyAlignment="1">
      <alignment vertical="center" shrinkToFit="1"/>
    </xf>
    <xf numFmtId="0" fontId="3" fillId="7" borderId="8" xfId="0" applyFont="1" applyFill="1" applyBorder="1" applyAlignment="1">
      <alignment horizontal="centerContinuous" vertical="center"/>
    </xf>
    <xf numFmtId="0" fontId="3" fillId="7" borderId="5" xfId="0" applyFont="1" applyFill="1" applyBorder="1" applyAlignment="1">
      <alignment horizontal="centerContinuous" vertical="center"/>
    </xf>
    <xf numFmtId="0" fontId="6" fillId="7" borderId="8" xfId="0" applyFont="1" applyFill="1" applyBorder="1" applyAlignment="1">
      <alignment horizontal="center" vertical="center"/>
    </xf>
    <xf numFmtId="0" fontId="6" fillId="7" borderId="5"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3" xfId="0" applyFont="1" applyFill="1" applyBorder="1" applyAlignment="1">
      <alignment horizontal="center" vertical="center"/>
    </xf>
    <xf numFmtId="0" fontId="10" fillId="0" borderId="0" xfId="0" applyFont="1"/>
    <xf numFmtId="0" fontId="9" fillId="0" borderId="8" xfId="0" applyFont="1" applyBorder="1" applyAlignment="1">
      <alignment horizontal="right" vertical="center"/>
    </xf>
    <xf numFmtId="0" fontId="9" fillId="0" borderId="5" xfId="0" applyFont="1" applyBorder="1" applyAlignment="1">
      <alignment horizontal="right" vertical="center"/>
    </xf>
    <xf numFmtId="20" fontId="3" fillId="0" borderId="0" xfId="0" applyNumberFormat="1" applyFont="1"/>
    <xf numFmtId="0" fontId="3" fillId="2" borderId="3" xfId="0" applyFont="1" applyFill="1" applyBorder="1" applyAlignment="1">
      <alignment horizontal="center" vertical="center"/>
    </xf>
    <xf numFmtId="0" fontId="6" fillId="2" borderId="5" xfId="0" applyFont="1" applyFill="1" applyBorder="1" applyAlignment="1">
      <alignment horizontal="center" vertical="center"/>
    </xf>
    <xf numFmtId="180" fontId="9" fillId="4" borderId="5" xfId="0" applyNumberFormat="1" applyFont="1" applyFill="1" applyBorder="1" applyAlignment="1">
      <alignment horizontal="right" vertical="center"/>
    </xf>
    <xf numFmtId="179" fontId="9" fillId="0" borderId="5" xfId="0" applyNumberFormat="1" applyFont="1" applyBorder="1" applyAlignment="1">
      <alignment horizontal="right"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3" fillId="7" borderId="5" xfId="0" applyFont="1" applyFill="1" applyBorder="1" applyAlignment="1">
      <alignment horizontal="center" vertical="center"/>
    </xf>
    <xf numFmtId="176" fontId="12" fillId="0" borderId="0" xfId="0" applyNumberFormat="1" applyFont="1" applyAlignment="1">
      <alignment horizontal="right"/>
    </xf>
    <xf numFmtId="14" fontId="12" fillId="0" borderId="0" xfId="0" applyNumberFormat="1" applyFont="1" applyAlignment="1">
      <alignment horizontal="center"/>
    </xf>
    <xf numFmtId="177" fontId="12" fillId="0" borderId="0" xfId="0" applyNumberFormat="1" applyFont="1" applyAlignment="1">
      <alignment horizontal="left"/>
    </xf>
    <xf numFmtId="0" fontId="9" fillId="0" borderId="8" xfId="0" applyFont="1" applyBorder="1" applyAlignment="1">
      <alignment horizontal="right" vertical="center" indent="1"/>
    </xf>
    <xf numFmtId="0" fontId="9" fillId="0" borderId="5" xfId="0" applyFont="1" applyBorder="1" applyAlignment="1">
      <alignment horizontal="right" vertical="center" indent="1"/>
    </xf>
    <xf numFmtId="180" fontId="9" fillId="0" borderId="5" xfId="0" applyNumberFormat="1" applyFont="1" applyBorder="1" applyAlignment="1">
      <alignment horizontal="right" vertical="center"/>
    </xf>
    <xf numFmtId="9" fontId="9" fillId="4" borderId="5" xfId="0" applyNumberFormat="1" applyFont="1" applyFill="1" applyBorder="1" applyAlignment="1">
      <alignment horizontal="center" vertical="center"/>
    </xf>
    <xf numFmtId="0" fontId="14" fillId="0" borderId="0" xfId="3" applyFont="1" applyAlignment="1">
      <alignment horizontal="left" indent="1"/>
    </xf>
    <xf numFmtId="0" fontId="15" fillId="0" borderId="0" xfId="0" applyFont="1"/>
    <xf numFmtId="0" fontId="3" fillId="0" borderId="0" xfId="0" applyFont="1" applyAlignment="1">
      <alignment horizontal="left"/>
    </xf>
    <xf numFmtId="0" fontId="6" fillId="5" borderId="28" xfId="0" applyFont="1" applyFill="1" applyBorder="1"/>
    <xf numFmtId="0" fontId="3" fillId="5" borderId="28"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25" fillId="0" borderId="0" xfId="0" applyFont="1"/>
    <xf numFmtId="0" fontId="25" fillId="0" borderId="5" xfId="0" applyFont="1" applyBorder="1"/>
    <xf numFmtId="0" fontId="26" fillId="0" borderId="0" xfId="0" applyFont="1"/>
    <xf numFmtId="0" fontId="26" fillId="0" borderId="5" xfId="0" applyFont="1" applyBorder="1" applyAlignment="1">
      <alignment horizontal="center" vertical="center"/>
    </xf>
    <xf numFmtId="0" fontId="26" fillId="0" borderId="5" xfId="0" applyFont="1" applyBorder="1"/>
    <xf numFmtId="0" fontId="26" fillId="0" borderId="0" xfId="0" applyFont="1" applyAlignment="1">
      <alignment vertical="center"/>
    </xf>
    <xf numFmtId="0" fontId="26" fillId="0" borderId="5" xfId="0" applyFont="1" applyBorder="1" applyAlignment="1">
      <alignment vertical="center"/>
    </xf>
    <xf numFmtId="0" fontId="26" fillId="0" borderId="5" xfId="0" applyFont="1" applyBorder="1" applyAlignment="1">
      <alignment horizontal="center"/>
    </xf>
    <xf numFmtId="0" fontId="25" fillId="0" borderId="5" xfId="0" applyFont="1" applyBorder="1" applyAlignment="1">
      <alignment horizontal="center"/>
    </xf>
    <xf numFmtId="0" fontId="27" fillId="0" borderId="5" xfId="0" applyFont="1" applyBorder="1"/>
    <xf numFmtId="0" fontId="26" fillId="0" borderId="0" xfId="0" applyFont="1" applyAlignment="1">
      <alignment horizontal="left"/>
    </xf>
    <xf numFmtId="0" fontId="26" fillId="0" borderId="5" xfId="0" applyFont="1" applyBorder="1" applyAlignment="1">
      <alignment horizontal="left" vertical="center"/>
    </xf>
    <xf numFmtId="0" fontId="26" fillId="0" borderId="5" xfId="0" applyFont="1" applyBorder="1" applyAlignment="1">
      <alignment horizontal="left"/>
    </xf>
    <xf numFmtId="0" fontId="28" fillId="0" borderId="0" xfId="6" applyFont="1" applyAlignment="1">
      <alignment horizontal="left" vertical="center"/>
    </xf>
    <xf numFmtId="181" fontId="28" fillId="0" borderId="0" xfId="6" applyNumberFormat="1" applyFont="1" applyAlignment="1">
      <alignment horizontal="left" vertical="center"/>
    </xf>
    <xf numFmtId="0" fontId="28" fillId="0" borderId="0" xfId="6" applyFont="1" applyAlignment="1">
      <alignment horizontal="right" vertical="center"/>
    </xf>
    <xf numFmtId="38" fontId="28" fillId="0" borderId="5" xfId="4" applyFont="1" applyFill="1" applyBorder="1" applyAlignment="1">
      <alignment horizontal="right" vertical="center"/>
    </xf>
    <xf numFmtId="38" fontId="28" fillId="0" borderId="0" xfId="4" applyFont="1" applyAlignment="1">
      <alignment horizontal="right" vertical="center"/>
    </xf>
    <xf numFmtId="0" fontId="29" fillId="0" borderId="0" xfId="0" applyFont="1" applyAlignment="1">
      <alignment horizontal="right"/>
    </xf>
    <xf numFmtId="0" fontId="29" fillId="0" borderId="0" xfId="0" applyFont="1"/>
    <xf numFmtId="0" fontId="29" fillId="0" borderId="0" xfId="0" applyFont="1" applyAlignment="1">
      <alignment vertical="center"/>
    </xf>
    <xf numFmtId="0" fontId="28" fillId="0" borderId="0" xfId="6" applyFont="1" applyAlignment="1">
      <alignment horizontal="left" vertical="top"/>
    </xf>
    <xf numFmtId="0" fontId="27" fillId="0" borderId="5" xfId="0" applyFont="1" applyBorder="1" applyAlignment="1">
      <alignment horizontal="left" vertical="center"/>
    </xf>
    <xf numFmtId="38" fontId="29" fillId="8" borderId="5" xfId="4" applyFont="1" applyFill="1" applyBorder="1" applyAlignment="1">
      <alignment horizontal="right" vertical="center"/>
    </xf>
    <xf numFmtId="0" fontId="26" fillId="0" borderId="0" xfId="0" applyFont="1" applyAlignment="1">
      <alignment horizontal="center"/>
    </xf>
    <xf numFmtId="38" fontId="28" fillId="8" borderId="5" xfId="4" applyFont="1" applyFill="1" applyBorder="1" applyAlignment="1">
      <alignment horizontal="right" vertical="center"/>
    </xf>
    <xf numFmtId="0" fontId="0" fillId="0" borderId="5" xfId="0" applyBorder="1"/>
    <xf numFmtId="20" fontId="0" fillId="0" borderId="5" xfId="0" applyNumberFormat="1" applyBorder="1"/>
    <xf numFmtId="56" fontId="0" fillId="0" borderId="5" xfId="0" applyNumberFormat="1" applyBorder="1" applyAlignment="1">
      <alignment vertical="center"/>
    </xf>
    <xf numFmtId="20" fontId="0" fillId="0" borderId="5" xfId="0" applyNumberFormat="1"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5" xfId="0" applyBorder="1" applyAlignment="1">
      <alignment vertical="center" wrapText="1"/>
    </xf>
    <xf numFmtId="0" fontId="34" fillId="0" borderId="5" xfId="0" applyFont="1" applyBorder="1" applyAlignment="1">
      <alignment horizontal="center" vertical="center"/>
    </xf>
    <xf numFmtId="0" fontId="35" fillId="0" borderId="0" xfId="0" applyFont="1" applyAlignment="1">
      <alignment vertical="center"/>
    </xf>
    <xf numFmtId="38" fontId="28" fillId="9" borderId="5" xfId="4" applyFont="1" applyFill="1" applyBorder="1" applyAlignment="1">
      <alignment horizontal="right" vertical="center"/>
    </xf>
    <xf numFmtId="0" fontId="28" fillId="0" borderId="5" xfId="6" applyFont="1" applyBorder="1" applyAlignment="1">
      <alignment horizontal="center" vertical="center"/>
    </xf>
    <xf numFmtId="0" fontId="29" fillId="0" borderId="5" xfId="0" applyFont="1" applyBorder="1" applyAlignment="1">
      <alignment vertical="center"/>
    </xf>
    <xf numFmtId="0" fontId="28" fillId="0" borderId="0" xfId="8" applyFont="1" applyAlignment="1">
      <alignment horizontal="left" vertical="center" wrapText="1"/>
    </xf>
    <xf numFmtId="0" fontId="28" fillId="0" borderId="5" xfId="6" applyFont="1" applyBorder="1" applyAlignment="1">
      <alignment horizontal="left" vertical="center"/>
    </xf>
    <xf numFmtId="38" fontId="29" fillId="0" borderId="5" xfId="4" applyFont="1" applyFill="1" applyBorder="1" applyAlignment="1">
      <alignment horizontal="right" vertical="center"/>
    </xf>
    <xf numFmtId="38" fontId="29" fillId="0" borderId="0" xfId="4" applyFont="1" applyFill="1" applyBorder="1" applyAlignment="1">
      <alignment horizontal="right" vertical="center"/>
    </xf>
    <xf numFmtId="0" fontId="36" fillId="0" borderId="0" xfId="6" applyFont="1" applyAlignment="1">
      <alignment horizontal="left" vertical="center"/>
    </xf>
    <xf numFmtId="0" fontId="32" fillId="0" borderId="0" xfId="6" applyFont="1" applyAlignment="1">
      <alignment horizontal="left" vertical="center"/>
    </xf>
    <xf numFmtId="0" fontId="29" fillId="0" borderId="5" xfId="6" applyFont="1" applyBorder="1" applyAlignment="1">
      <alignment vertical="center" wrapText="1" shrinkToFit="1"/>
    </xf>
    <xf numFmtId="0" fontId="28" fillId="0" borderId="5" xfId="6" applyFont="1" applyBorder="1" applyAlignment="1">
      <alignment vertical="center"/>
    </xf>
    <xf numFmtId="0" fontId="28" fillId="0" borderId="5" xfId="8" applyFont="1" applyBorder="1" applyAlignment="1">
      <alignment horizontal="left" vertical="center" wrapText="1"/>
    </xf>
    <xf numFmtId="0" fontId="28" fillId="0" borderId="1" xfId="6" applyFont="1" applyBorder="1" applyAlignment="1">
      <alignment horizontal="left" vertical="center"/>
    </xf>
    <xf numFmtId="0" fontId="28" fillId="0" borderId="5" xfId="6" applyFont="1" applyBorder="1" applyAlignment="1">
      <alignment vertical="center" wrapText="1"/>
    </xf>
    <xf numFmtId="38" fontId="28" fillId="0" borderId="0" xfId="4" applyFont="1" applyFill="1" applyBorder="1" applyAlignment="1">
      <alignment horizontal="right" vertical="center"/>
    </xf>
    <xf numFmtId="38" fontId="28" fillId="0" borderId="0" xfId="4" applyFont="1" applyFill="1" applyAlignment="1">
      <alignment horizontal="right" vertical="center"/>
    </xf>
    <xf numFmtId="40" fontId="29" fillId="0" borderId="5" xfId="4" applyNumberFormat="1" applyFont="1" applyFill="1" applyBorder="1" applyAlignment="1">
      <alignment horizontal="right" vertical="center"/>
    </xf>
    <xf numFmtId="40" fontId="28" fillId="0" borderId="5" xfId="4" applyNumberFormat="1" applyFont="1" applyFill="1" applyBorder="1" applyAlignment="1">
      <alignment horizontal="right" vertical="center"/>
    </xf>
    <xf numFmtId="179" fontId="29" fillId="0" borderId="0" xfId="0" applyNumberFormat="1" applyFont="1" applyAlignment="1">
      <alignment horizontal="right" vertical="center"/>
    </xf>
    <xf numFmtId="38" fontId="28" fillId="9" borderId="5" xfId="4" applyFont="1" applyFill="1" applyBorder="1" applyAlignment="1">
      <alignment vertical="center"/>
    </xf>
    <xf numFmtId="0" fontId="28" fillId="0" borderId="0" xfId="6" applyFont="1" applyAlignment="1">
      <alignment vertical="center"/>
    </xf>
    <xf numFmtId="0" fontId="29" fillId="0" borderId="0" xfId="6" applyFont="1" applyAlignment="1">
      <alignment horizontal="center" vertical="center" wrapText="1"/>
    </xf>
    <xf numFmtId="0" fontId="28" fillId="0" borderId="6" xfId="6" applyFont="1" applyBorder="1" applyAlignment="1">
      <alignment vertical="center"/>
    </xf>
    <xf numFmtId="0" fontId="28" fillId="0" borderId="6" xfId="6" applyFont="1" applyBorder="1" applyAlignment="1">
      <alignment horizontal="left" vertical="center"/>
    </xf>
    <xf numFmtId="0" fontId="28" fillId="0" borderId="0" xfId="6" applyFont="1" applyAlignment="1">
      <alignment horizontal="left" vertical="center" wrapText="1"/>
    </xf>
    <xf numFmtId="0" fontId="28" fillId="0" borderId="0" xfId="6" applyFont="1" applyAlignment="1">
      <alignment horizontal="center" vertical="center"/>
    </xf>
    <xf numFmtId="0" fontId="28" fillId="0" borderId="5" xfId="6" applyFont="1" applyBorder="1" applyAlignment="1">
      <alignment horizontal="right" vertical="center" wrapText="1"/>
    </xf>
    <xf numFmtId="0" fontId="28" fillId="0" borderId="5" xfId="6" applyFont="1" applyBorder="1" applyAlignment="1">
      <alignment horizontal="right" vertical="center"/>
    </xf>
    <xf numFmtId="0" fontId="28" fillId="0" borderId="0" xfId="6" applyFont="1" applyAlignment="1">
      <alignment horizontal="center" vertical="center" wrapText="1"/>
    </xf>
    <xf numFmtId="183" fontId="28" fillId="0" borderId="0" xfId="6" applyNumberFormat="1" applyFont="1" applyAlignment="1">
      <alignment horizontal="left" vertical="center"/>
    </xf>
    <xf numFmtId="183" fontId="31" fillId="0" borderId="0" xfId="6" applyNumberFormat="1" applyFont="1" applyAlignment="1">
      <alignment horizontal="left" vertical="center"/>
    </xf>
    <xf numFmtId="0" fontId="29" fillId="0" borderId="5" xfId="6" applyFont="1" applyBorder="1" applyAlignment="1">
      <alignment vertical="center"/>
    </xf>
    <xf numFmtId="0" fontId="29" fillId="0" borderId="5" xfId="0" applyFont="1" applyBorder="1" applyAlignment="1">
      <alignment horizontal="center" vertical="center"/>
    </xf>
    <xf numFmtId="0" fontId="36" fillId="0" borderId="0" xfId="0" applyFont="1" applyAlignment="1">
      <alignment vertical="center"/>
    </xf>
    <xf numFmtId="38" fontId="28" fillId="0" borderId="0" xfId="4" applyFont="1" applyAlignment="1">
      <alignment horizontal="left" vertical="center"/>
    </xf>
    <xf numFmtId="38" fontId="28" fillId="0" borderId="0" xfId="4" applyFont="1" applyBorder="1" applyAlignment="1">
      <alignment horizontal="left" vertical="center"/>
    </xf>
    <xf numFmtId="38" fontId="28" fillId="0" borderId="0" xfId="4" applyFont="1" applyFill="1" applyBorder="1" applyAlignment="1">
      <alignment horizontal="left" vertical="center"/>
    </xf>
    <xf numFmtId="38" fontId="28" fillId="0" borderId="5" xfId="4" applyFont="1" applyFill="1" applyBorder="1" applyAlignment="1">
      <alignment vertical="center"/>
    </xf>
    <xf numFmtId="38" fontId="28" fillId="0" borderId="0" xfId="4" applyFont="1" applyFill="1" applyAlignment="1">
      <alignment horizontal="left" vertical="center"/>
    </xf>
    <xf numFmtId="185" fontId="28" fillId="8" borderId="5" xfId="6" applyNumberFormat="1" applyFont="1" applyFill="1" applyBorder="1" applyAlignment="1">
      <alignment horizontal="right" vertical="center"/>
    </xf>
    <xf numFmtId="0" fontId="28" fillId="0" borderId="0" xfId="6" applyFont="1" applyAlignment="1">
      <alignment vertical="top" wrapText="1"/>
    </xf>
    <xf numFmtId="0" fontId="29" fillId="0" borderId="5" xfId="10" applyFont="1" applyBorder="1" applyAlignment="1">
      <alignment horizontal="center" vertical="center"/>
    </xf>
    <xf numFmtId="0" fontId="29" fillId="0" borderId="5" xfId="10" applyFont="1" applyBorder="1">
      <alignment vertical="center"/>
    </xf>
    <xf numFmtId="0" fontId="29" fillId="0" borderId="0" xfId="10" applyFont="1">
      <alignment vertical="center"/>
    </xf>
    <xf numFmtId="0" fontId="32" fillId="0" borderId="0" xfId="11" applyFont="1" applyAlignment="1">
      <alignment horizontal="right"/>
    </xf>
    <xf numFmtId="0" fontId="29" fillId="0" borderId="5" xfId="10" applyFont="1" applyBorder="1" applyAlignment="1">
      <alignment horizontal="center" vertical="center" wrapText="1"/>
    </xf>
    <xf numFmtId="0" fontId="29" fillId="0" borderId="5" xfId="6" applyFont="1" applyBorder="1" applyAlignment="1">
      <alignment vertical="center" wrapText="1"/>
    </xf>
    <xf numFmtId="0" fontId="29" fillId="0" borderId="5" xfId="6" applyFont="1" applyBorder="1" applyAlignment="1">
      <alignment horizontal="center" vertical="center" wrapText="1"/>
    </xf>
    <xf numFmtId="179" fontId="32" fillId="0" borderId="5" xfId="11" applyNumberFormat="1" applyFont="1" applyBorder="1" applyAlignment="1">
      <alignment horizontal="right"/>
    </xf>
    <xf numFmtId="179" fontId="29" fillId="0" borderId="5" xfId="10" applyNumberFormat="1" applyFont="1" applyBorder="1">
      <alignment vertical="center"/>
    </xf>
    <xf numFmtId="179" fontId="28" fillId="0" borderId="5" xfId="6" applyNumberFormat="1" applyFont="1" applyBorder="1" applyAlignment="1">
      <alignment vertical="center"/>
    </xf>
    <xf numFmtId="184" fontId="28" fillId="0" borderId="5" xfId="6" applyNumberFormat="1" applyFont="1" applyBorder="1" applyAlignment="1">
      <alignment vertical="center"/>
    </xf>
    <xf numFmtId="179" fontId="29" fillId="0" borderId="5" xfId="10" applyNumberFormat="1" applyFont="1" applyBorder="1" applyAlignment="1">
      <alignment horizontal="right" vertical="center"/>
    </xf>
    <xf numFmtId="38" fontId="28" fillId="9" borderId="34" xfId="6" applyNumberFormat="1" applyFont="1" applyFill="1" applyBorder="1" applyAlignment="1">
      <alignment horizontal="right" vertical="center"/>
    </xf>
    <xf numFmtId="186" fontId="28" fillId="0" borderId="0" xfId="6" applyNumberFormat="1" applyFont="1" applyAlignment="1">
      <alignment horizontal="righ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27" fillId="0" borderId="5" xfId="0" applyFont="1" applyBorder="1" applyAlignment="1">
      <alignment vertical="center"/>
    </xf>
    <xf numFmtId="0" fontId="34"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13" xfId="0" applyFont="1" applyBorder="1" applyAlignment="1">
      <alignment vertical="center"/>
    </xf>
    <xf numFmtId="0" fontId="26" fillId="0" borderId="14"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6" fillId="0" borderId="22" xfId="0" applyFont="1" applyBorder="1" applyAlignment="1">
      <alignment vertical="center"/>
    </xf>
    <xf numFmtId="0" fontId="26" fillId="0" borderId="35" xfId="0" applyFont="1" applyBorder="1" applyAlignment="1">
      <alignment vertical="center"/>
    </xf>
    <xf numFmtId="0" fontId="26" fillId="0" borderId="36" xfId="0" applyFont="1" applyBorder="1" applyAlignment="1">
      <alignment vertical="center"/>
    </xf>
    <xf numFmtId="0" fontId="26" fillId="0" borderId="37" xfId="0" applyFont="1" applyBorder="1" applyAlignment="1">
      <alignment vertical="center"/>
    </xf>
    <xf numFmtId="0" fontId="29" fillId="0" borderId="0" xfId="0" applyFont="1" applyAlignment="1">
      <alignment horizontal="left"/>
    </xf>
    <xf numFmtId="0" fontId="37" fillId="0" borderId="0" xfId="0" applyFont="1" applyAlignment="1">
      <alignment horizontal="left" vertical="center" indent="11"/>
    </xf>
    <xf numFmtId="0" fontId="38" fillId="0" borderId="0" xfId="0" applyFont="1" applyAlignment="1">
      <alignment vertical="center"/>
    </xf>
    <xf numFmtId="0" fontId="37" fillId="0" borderId="0" xfId="0" applyFont="1" applyAlignment="1">
      <alignment vertical="center"/>
    </xf>
    <xf numFmtId="0" fontId="39" fillId="0" borderId="34"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39" xfId="0" applyFont="1" applyBorder="1" applyAlignment="1">
      <alignment vertical="center" wrapText="1"/>
    </xf>
    <xf numFmtId="0" fontId="39" fillId="0" borderId="40" xfId="0" applyFont="1" applyBorder="1" applyAlignment="1">
      <alignment vertical="center" wrapText="1"/>
    </xf>
    <xf numFmtId="0" fontId="40" fillId="0" borderId="0" xfId="0" applyFont="1" applyAlignment="1">
      <alignment horizontal="justify" vertical="center"/>
    </xf>
    <xf numFmtId="0" fontId="26" fillId="0" borderId="0" xfId="0" applyFont="1" applyAlignment="1">
      <alignment horizontal="justify" vertical="center"/>
    </xf>
    <xf numFmtId="0" fontId="41" fillId="0" borderId="0" xfId="0" applyFont="1" applyAlignment="1">
      <alignment horizontal="justify" vertical="center"/>
    </xf>
    <xf numFmtId="0" fontId="38" fillId="0" borderId="0" xfId="0" applyFont="1" applyAlignment="1">
      <alignment horizontal="justify" vertical="center"/>
    </xf>
    <xf numFmtId="0" fontId="23" fillId="0" borderId="0" xfId="0" applyFont="1" applyAlignment="1">
      <alignment horizontal="justify" vertical="center"/>
    </xf>
    <xf numFmtId="0" fontId="26" fillId="0" borderId="41" xfId="0" applyFont="1" applyBorder="1" applyAlignment="1">
      <alignment vertical="center"/>
    </xf>
    <xf numFmtId="0" fontId="26" fillId="0" borderId="42" xfId="0" applyFont="1" applyBorder="1" applyAlignment="1">
      <alignment vertical="center"/>
    </xf>
    <xf numFmtId="0" fontId="28" fillId="0" borderId="5" xfId="6" applyFont="1" applyBorder="1" applyAlignment="1">
      <alignment horizontal="center" vertical="center" wrapText="1"/>
    </xf>
    <xf numFmtId="0" fontId="43" fillId="0" borderId="0" xfId="6" applyFont="1" applyAlignment="1">
      <alignment horizontal="left" vertical="center"/>
    </xf>
    <xf numFmtId="0" fontId="43" fillId="0" borderId="5" xfId="6" applyFont="1" applyBorder="1" applyAlignment="1">
      <alignment horizontal="center" vertical="center"/>
    </xf>
    <xf numFmtId="0" fontId="43" fillId="0" borderId="0" xfId="6" applyFont="1" applyAlignment="1">
      <alignment horizontal="left" vertical="center" wrapText="1"/>
    </xf>
    <xf numFmtId="0" fontId="43" fillId="0" borderId="5" xfId="6" applyFont="1" applyBorder="1" applyAlignment="1">
      <alignment vertical="center"/>
    </xf>
    <xf numFmtId="180" fontId="43" fillId="10" borderId="5" xfId="6" applyNumberFormat="1" applyFont="1" applyFill="1" applyBorder="1" applyAlignment="1">
      <alignment vertical="center"/>
    </xf>
    <xf numFmtId="0" fontId="43" fillId="0" borderId="0" xfId="6" applyFont="1" applyAlignment="1">
      <alignment horizontal="right" vertical="center"/>
    </xf>
    <xf numFmtId="179" fontId="43" fillId="10" borderId="5" xfId="6" applyNumberFormat="1" applyFont="1" applyFill="1" applyBorder="1" applyAlignment="1">
      <alignment vertical="center"/>
    </xf>
    <xf numFmtId="0" fontId="44" fillId="0" borderId="0" xfId="0" applyFont="1" applyAlignment="1">
      <alignment vertical="center"/>
    </xf>
    <xf numFmtId="0" fontId="43" fillId="0" borderId="0" xfId="6" applyFont="1" applyAlignment="1">
      <alignment vertical="center"/>
    </xf>
    <xf numFmtId="179" fontId="43" fillId="0" borderId="0" xfId="6" applyNumberFormat="1" applyFont="1" applyAlignment="1">
      <alignment vertical="center"/>
    </xf>
    <xf numFmtId="0" fontId="43" fillId="0" borderId="5" xfId="6" applyFont="1" applyBorder="1" applyAlignment="1">
      <alignment vertical="center" wrapText="1"/>
    </xf>
    <xf numFmtId="9" fontId="43" fillId="0" borderId="5" xfId="5" applyFont="1" applyFill="1" applyBorder="1" applyAlignment="1">
      <alignment horizontal="right" vertical="center"/>
    </xf>
    <xf numFmtId="181" fontId="43" fillId="0" borderId="5" xfId="7" applyNumberFormat="1" applyFont="1" applyFill="1" applyBorder="1" applyAlignment="1">
      <alignment horizontal="right" vertical="center"/>
    </xf>
    <xf numFmtId="0" fontId="43" fillId="0" borderId="5" xfId="6" applyFont="1" applyBorder="1" applyAlignment="1">
      <alignment horizontal="left" vertical="center"/>
    </xf>
    <xf numFmtId="179" fontId="43" fillId="0" borderId="5" xfId="6" applyNumberFormat="1" applyFont="1" applyBorder="1" applyAlignment="1">
      <alignment horizontal="right" vertical="center"/>
    </xf>
    <xf numFmtId="186" fontId="43" fillId="0" borderId="5" xfId="4" applyNumberFormat="1" applyFont="1" applyFill="1" applyBorder="1" applyAlignment="1">
      <alignment horizontal="right" vertical="center"/>
    </xf>
    <xf numFmtId="0" fontId="44" fillId="0" borderId="0" xfId="8" applyFont="1">
      <alignment vertical="center"/>
    </xf>
    <xf numFmtId="0" fontId="43" fillId="0" borderId="0" xfId="8" applyFont="1" applyAlignment="1">
      <alignment horizontal="left" vertical="center"/>
    </xf>
    <xf numFmtId="0" fontId="43" fillId="0" borderId="5" xfId="8" applyFont="1" applyBorder="1" applyAlignment="1">
      <alignment horizontal="left" vertical="center" shrinkToFit="1"/>
    </xf>
    <xf numFmtId="182" fontId="28" fillId="0" borderId="5" xfId="4" applyNumberFormat="1" applyFont="1" applyFill="1" applyBorder="1" applyAlignment="1">
      <alignment horizontal="right" vertical="center"/>
    </xf>
    <xf numFmtId="181" fontId="43" fillId="0" borderId="5" xfId="6" applyNumberFormat="1" applyFont="1" applyBorder="1" applyAlignment="1">
      <alignment horizontal="right" vertical="center"/>
    </xf>
    <xf numFmtId="0" fontId="28" fillId="9" borderId="5" xfId="6" applyFont="1" applyFill="1" applyBorder="1" applyAlignment="1">
      <alignment horizontal="right" vertical="center"/>
    </xf>
    <xf numFmtId="40" fontId="28" fillId="0" borderId="0" xfId="4" applyNumberFormat="1" applyFont="1" applyFill="1" applyBorder="1" applyAlignment="1">
      <alignment horizontal="right" vertical="center"/>
    </xf>
    <xf numFmtId="1" fontId="28" fillId="9" borderId="5" xfId="6" applyNumberFormat="1" applyFont="1" applyFill="1" applyBorder="1" applyAlignment="1">
      <alignment horizontal="right" vertical="center"/>
    </xf>
    <xf numFmtId="38" fontId="28" fillId="8" borderId="5" xfId="4" applyFont="1" applyFill="1" applyBorder="1" applyAlignment="1">
      <alignment horizontal="center" vertical="center"/>
    </xf>
    <xf numFmtId="38" fontId="28" fillId="9" borderId="5" xfId="4" applyFont="1" applyFill="1" applyBorder="1" applyAlignment="1">
      <alignment horizontal="center" vertical="center"/>
    </xf>
    <xf numFmtId="0" fontId="28" fillId="5" borderId="0" xfId="6" applyFont="1" applyFill="1" applyAlignment="1">
      <alignment horizontal="left" vertical="center"/>
    </xf>
    <xf numFmtId="0" fontId="29" fillId="5" borderId="0" xfId="0" applyFont="1" applyFill="1" applyAlignment="1">
      <alignment vertical="center"/>
    </xf>
    <xf numFmtId="38" fontId="28" fillId="5" borderId="0" xfId="4" applyFont="1" applyFill="1" applyBorder="1" applyAlignment="1">
      <alignment horizontal="right" vertical="center"/>
    </xf>
    <xf numFmtId="0" fontId="42" fillId="0" borderId="0" xfId="0" applyFont="1" applyAlignment="1">
      <alignment vertical="center"/>
    </xf>
    <xf numFmtId="0" fontId="28" fillId="11" borderId="5" xfId="6" applyFont="1" applyFill="1" applyBorder="1" applyAlignment="1">
      <alignment horizontal="center" vertical="center" wrapText="1"/>
    </xf>
    <xf numFmtId="38" fontId="28" fillId="11" borderId="5" xfId="4" applyFont="1" applyFill="1" applyBorder="1" applyAlignment="1">
      <alignment horizontal="center" vertical="center" wrapText="1"/>
    </xf>
    <xf numFmtId="38" fontId="28" fillId="0" borderId="0" xfId="4" applyFont="1" applyFill="1" applyBorder="1" applyAlignment="1">
      <alignment horizontal="right" vertical="center" wrapText="1"/>
    </xf>
    <xf numFmtId="38" fontId="28" fillId="0" borderId="5" xfId="4" applyFont="1" applyBorder="1" applyAlignment="1">
      <alignment horizontal="right" vertical="center"/>
    </xf>
    <xf numFmtId="179" fontId="29" fillId="8" borderId="5" xfId="0" applyNumberFormat="1" applyFont="1" applyFill="1" applyBorder="1" applyAlignment="1">
      <alignment horizontal="center" vertical="center"/>
    </xf>
    <xf numFmtId="0" fontId="29" fillId="11" borderId="5" xfId="0" applyFont="1" applyFill="1" applyBorder="1" applyAlignment="1">
      <alignment vertical="center"/>
    </xf>
    <xf numFmtId="183" fontId="29" fillId="11" borderId="5" xfId="5" applyNumberFormat="1" applyFont="1" applyFill="1" applyBorder="1">
      <alignment vertical="center"/>
    </xf>
    <xf numFmtId="0" fontId="29" fillId="0" borderId="0" xfId="0" applyFont="1" applyAlignment="1">
      <alignment horizontal="left" vertical="center"/>
    </xf>
    <xf numFmtId="0" fontId="29" fillId="11" borderId="5" xfId="0" applyFont="1" applyFill="1" applyBorder="1" applyAlignment="1">
      <alignment horizontal="right" vertical="center"/>
    </xf>
    <xf numFmtId="0" fontId="28" fillId="11" borderId="5" xfId="6" applyFont="1" applyFill="1" applyBorder="1" applyAlignment="1">
      <alignment horizontal="right" vertical="center"/>
    </xf>
    <xf numFmtId="0" fontId="29" fillId="0" borderId="0" xfId="0" applyFont="1" applyAlignment="1">
      <alignment horizontal="right" vertical="center"/>
    </xf>
    <xf numFmtId="38" fontId="29" fillId="11" borderId="5" xfId="4" applyFont="1" applyFill="1" applyBorder="1" applyAlignment="1">
      <alignment horizontal="right" vertical="center"/>
    </xf>
    <xf numFmtId="38" fontId="28" fillId="11" borderId="5" xfId="4" applyFont="1" applyFill="1" applyBorder="1" applyAlignment="1">
      <alignment horizontal="right" vertical="center"/>
    </xf>
    <xf numFmtId="0" fontId="29" fillId="0" borderId="5" xfId="0" applyFont="1" applyBorder="1" applyAlignment="1">
      <alignment horizontal="right" vertical="center"/>
    </xf>
    <xf numFmtId="38" fontId="28" fillId="0" borderId="0" xfId="4" applyFont="1" applyBorder="1" applyAlignment="1">
      <alignment horizontal="right" vertical="center"/>
    </xf>
    <xf numFmtId="38" fontId="28" fillId="0" borderId="5" xfId="4" applyFont="1" applyBorder="1" applyAlignment="1">
      <alignment horizontal="center" vertical="center"/>
    </xf>
    <xf numFmtId="9" fontId="28" fillId="11" borderId="5" xfId="5" applyFont="1" applyFill="1" applyBorder="1" applyAlignment="1">
      <alignment horizontal="right" vertical="center"/>
    </xf>
    <xf numFmtId="183" fontId="28" fillId="11" borderId="5" xfId="6" applyNumberFormat="1" applyFont="1" applyFill="1" applyBorder="1" applyAlignment="1">
      <alignment horizontal="right" vertical="center"/>
    </xf>
    <xf numFmtId="183" fontId="28" fillId="11" borderId="5" xfId="5" applyNumberFormat="1" applyFont="1" applyFill="1" applyBorder="1" applyAlignment="1">
      <alignment horizontal="right" vertical="center"/>
    </xf>
    <xf numFmtId="9" fontId="28" fillId="11" borderId="5" xfId="6" applyNumberFormat="1" applyFont="1" applyFill="1" applyBorder="1" applyAlignment="1">
      <alignment horizontal="right" vertical="center"/>
    </xf>
    <xf numFmtId="183" fontId="32" fillId="0" borderId="5" xfId="6" applyNumberFormat="1" applyFont="1" applyBorder="1" applyAlignment="1">
      <alignment horizontal="center" vertical="center"/>
    </xf>
    <xf numFmtId="0" fontId="28" fillId="12" borderId="6" xfId="6" applyFont="1" applyFill="1" applyBorder="1" applyAlignment="1">
      <alignment horizontal="center" vertical="center"/>
    </xf>
    <xf numFmtId="38" fontId="28" fillId="0" borderId="0" xfId="6" applyNumberFormat="1" applyFont="1" applyAlignment="1">
      <alignment horizontal="left" vertical="center"/>
    </xf>
    <xf numFmtId="179" fontId="28" fillId="0" borderId="5" xfId="6" applyNumberFormat="1" applyFont="1" applyBorder="1" applyAlignment="1">
      <alignment horizontal="right" vertical="center"/>
    </xf>
    <xf numFmtId="38" fontId="28" fillId="9" borderId="5" xfId="6" applyNumberFormat="1" applyFont="1" applyFill="1" applyBorder="1" applyAlignment="1">
      <alignment horizontal="right" vertical="center"/>
    </xf>
    <xf numFmtId="0" fontId="29" fillId="0" borderId="5" xfId="0" applyFont="1" applyBorder="1" applyAlignment="1">
      <alignment horizontal="left" vertical="center"/>
    </xf>
    <xf numFmtId="0" fontId="28" fillId="12" borderId="5" xfId="6" applyFont="1" applyFill="1" applyBorder="1" applyAlignment="1">
      <alignment vertical="center"/>
    </xf>
    <xf numFmtId="0" fontId="28" fillId="12" borderId="6" xfId="6" applyFont="1" applyFill="1" applyBorder="1" applyAlignment="1">
      <alignment vertical="center"/>
    </xf>
    <xf numFmtId="38" fontId="28" fillId="0" borderId="5" xfId="6" applyNumberFormat="1" applyFont="1" applyBorder="1" applyAlignment="1">
      <alignment horizontal="center" vertical="center"/>
    </xf>
    <xf numFmtId="0" fontId="28" fillId="0" borderId="0" xfId="6" applyFont="1" applyAlignment="1">
      <alignment vertical="center" wrapText="1"/>
    </xf>
    <xf numFmtId="0" fontId="28" fillId="0" borderId="0" xfId="6" applyFont="1" applyAlignment="1">
      <alignment horizontal="left" vertical="top" wrapText="1"/>
    </xf>
    <xf numFmtId="0" fontId="29" fillId="11" borderId="5" xfId="10" applyFont="1" applyFill="1" applyBorder="1">
      <alignment vertical="center"/>
    </xf>
    <xf numFmtId="0" fontId="29" fillId="0" borderId="5" xfId="10" applyFont="1" applyBorder="1" applyAlignment="1">
      <alignment horizontal="left" vertical="center"/>
    </xf>
    <xf numFmtId="0" fontId="29" fillId="8" borderId="5" xfId="10" applyFont="1" applyFill="1" applyBorder="1" applyAlignment="1">
      <alignment horizontal="right" vertical="center"/>
    </xf>
    <xf numFmtId="0" fontId="32" fillId="0" borderId="6" xfId="11" applyFont="1" applyBorder="1" applyAlignment="1">
      <alignment vertical="center" wrapText="1"/>
    </xf>
    <xf numFmtId="184" fontId="29" fillId="0" borderId="5" xfId="10" applyNumberFormat="1" applyFont="1" applyBorder="1" applyAlignment="1">
      <alignment horizontal="right" vertical="center"/>
    </xf>
    <xf numFmtId="1" fontId="28" fillId="0" borderId="5" xfId="6" applyNumberFormat="1" applyFont="1" applyBorder="1" applyAlignment="1">
      <alignment horizontal="right" vertical="center"/>
    </xf>
    <xf numFmtId="38" fontId="28" fillId="0" borderId="0" xfId="4" applyFont="1" applyFill="1" applyBorder="1" applyAlignment="1">
      <alignment vertical="center"/>
    </xf>
    <xf numFmtId="0" fontId="29" fillId="0" borderId="6" xfId="0" applyFont="1" applyBorder="1" applyAlignment="1">
      <alignment vertical="center" wrapText="1"/>
    </xf>
    <xf numFmtId="0" fontId="29" fillId="0" borderId="2" xfId="0" applyFont="1" applyBorder="1" applyAlignment="1">
      <alignment vertical="center"/>
    </xf>
    <xf numFmtId="0" fontId="29" fillId="0" borderId="31" xfId="0" applyFont="1" applyBorder="1" applyAlignment="1">
      <alignment vertical="center"/>
    </xf>
    <xf numFmtId="0" fontId="29" fillId="0" borderId="4" xfId="0" applyFont="1" applyBorder="1" applyAlignment="1">
      <alignment vertical="center"/>
    </xf>
    <xf numFmtId="38" fontId="28" fillId="5" borderId="0" xfId="4" applyFont="1" applyFill="1" applyBorder="1" applyAlignment="1">
      <alignment horizontal="left" vertical="center"/>
    </xf>
    <xf numFmtId="0" fontId="36" fillId="5" borderId="0" xfId="6" applyFont="1" applyFill="1" applyAlignment="1">
      <alignment horizontal="left" vertical="center"/>
    </xf>
    <xf numFmtId="0" fontId="29" fillId="5" borderId="0" xfId="6" applyFont="1" applyFill="1" applyAlignment="1">
      <alignment horizontal="center" vertical="center" wrapText="1"/>
    </xf>
    <xf numFmtId="0" fontId="26" fillId="8" borderId="13" xfId="0" applyFont="1" applyFill="1" applyBorder="1" applyAlignment="1">
      <alignment vertical="center"/>
    </xf>
    <xf numFmtId="0" fontId="26" fillId="8" borderId="5" xfId="0" applyFont="1" applyFill="1" applyBorder="1"/>
    <xf numFmtId="0" fontId="26" fillId="8" borderId="5" xfId="0" applyFont="1" applyFill="1" applyBorder="1" applyAlignment="1">
      <alignment horizontal="left"/>
    </xf>
    <xf numFmtId="38" fontId="29" fillId="0" borderId="0" xfId="0" applyNumberFormat="1" applyFont="1" applyAlignment="1">
      <alignment vertical="center"/>
    </xf>
    <xf numFmtId="186" fontId="43" fillId="0" borderId="0" xfId="4" applyNumberFormat="1" applyFont="1" applyFill="1" applyBorder="1" applyAlignment="1">
      <alignment horizontal="right" vertical="center"/>
    </xf>
    <xf numFmtId="0" fontId="38" fillId="0" borderId="0" xfId="0" applyFont="1"/>
    <xf numFmtId="0" fontId="37" fillId="0" borderId="39" xfId="0" applyFont="1" applyBorder="1" applyAlignment="1">
      <alignment vertical="center" wrapText="1"/>
    </xf>
    <xf numFmtId="0" fontId="37" fillId="0" borderId="40" xfId="0" applyFont="1" applyBorder="1" applyAlignment="1">
      <alignment vertical="center" wrapText="1"/>
    </xf>
    <xf numFmtId="0" fontId="47" fillId="0" borderId="0" xfId="0" applyFont="1"/>
    <xf numFmtId="0" fontId="32" fillId="0" borderId="5" xfId="6" applyFont="1" applyBorder="1" applyAlignment="1">
      <alignment horizontal="left" vertical="center"/>
    </xf>
    <xf numFmtId="0" fontId="0" fillId="13" borderId="0" xfId="0" applyFill="1" applyAlignment="1">
      <alignment vertical="center"/>
    </xf>
    <xf numFmtId="187" fontId="29" fillId="11" borderId="5" xfId="0" applyNumberFormat="1" applyFont="1" applyFill="1" applyBorder="1" applyAlignment="1">
      <alignment vertical="center"/>
    </xf>
    <xf numFmtId="0" fontId="28" fillId="0" borderId="9" xfId="6" applyFont="1" applyBorder="1" applyAlignment="1">
      <alignment vertical="center" wrapText="1"/>
    </xf>
    <xf numFmtId="0" fontId="28" fillId="0" borderId="9" xfId="6" applyFont="1" applyBorder="1" applyAlignment="1">
      <alignment vertical="center"/>
    </xf>
    <xf numFmtId="0" fontId="29" fillId="0" borderId="0" xfId="6" applyFont="1" applyAlignment="1">
      <alignment horizontal="left" vertical="center" wrapText="1"/>
    </xf>
    <xf numFmtId="185" fontId="28" fillId="0" borderId="0" xfId="6" applyNumberFormat="1" applyFont="1" applyAlignment="1">
      <alignment horizontal="right" vertical="center"/>
    </xf>
    <xf numFmtId="38" fontId="28" fillId="7" borderId="5" xfId="4" applyFont="1" applyFill="1" applyBorder="1" applyAlignment="1">
      <alignment horizontal="right" vertical="center"/>
    </xf>
    <xf numFmtId="0" fontId="48" fillId="0" borderId="0" xfId="6" applyFont="1" applyAlignment="1">
      <alignment horizontal="left" vertical="center"/>
    </xf>
    <xf numFmtId="0" fontId="48" fillId="0" borderId="0" xfId="6" applyFont="1" applyAlignment="1">
      <alignment horizontal="left" vertical="center" wrapText="1"/>
    </xf>
    <xf numFmtId="0" fontId="23" fillId="0" borderId="0" xfId="0" applyFont="1" applyAlignment="1">
      <alignment horizontal="left"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3"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23" xfId="0" applyFont="1" applyFill="1" applyBorder="1" applyAlignment="1">
      <alignment horizontal="center"/>
    </xf>
    <xf numFmtId="0" fontId="3" fillId="5" borderId="24" xfId="0" applyFont="1" applyFill="1" applyBorder="1" applyAlignment="1">
      <alignment horizontal="center"/>
    </xf>
    <xf numFmtId="0" fontId="3" fillId="5" borderId="25" xfId="0" applyFont="1" applyFill="1" applyBorder="1" applyAlignment="1">
      <alignment horizontal="center"/>
    </xf>
    <xf numFmtId="0" fontId="3" fillId="5" borderId="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27"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7" borderId="21"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applyAlignment="1">
      <alignment horizontal="center"/>
    </xf>
    <xf numFmtId="0" fontId="3" fillId="7" borderId="2"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 xfId="0" applyFont="1" applyFill="1"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15" xfId="0" applyFont="1" applyBorder="1" applyAlignment="1">
      <alignment vertical="center" shrinkToFi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8" xfId="0" applyFont="1" applyFill="1" applyBorder="1" applyAlignment="1">
      <alignment horizontal="center" vertical="center"/>
    </xf>
    <xf numFmtId="0" fontId="3" fillId="5" borderId="30"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9" xfId="0" applyFont="1" applyBorder="1" applyAlignment="1">
      <alignment vertical="center"/>
    </xf>
    <xf numFmtId="0" fontId="3" fillId="5" borderId="3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5" xfId="0" applyFont="1" applyFill="1" applyBorder="1" applyAlignment="1">
      <alignment horizontal="center" vertical="center"/>
    </xf>
    <xf numFmtId="0" fontId="9" fillId="0" borderId="5" xfId="0" applyFont="1" applyBorder="1" applyAlignment="1">
      <alignment vertical="center" wrapText="1"/>
    </xf>
    <xf numFmtId="0" fontId="9" fillId="0" borderId="5" xfId="0" applyFont="1" applyBorder="1" applyAlignment="1">
      <alignment vertical="center"/>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0" xfId="0" applyFont="1" applyBorder="1" applyAlignment="1">
      <alignment vertical="center" shrinkToFit="1"/>
    </xf>
    <xf numFmtId="0" fontId="6" fillId="7" borderId="2"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28" fillId="0" borderId="6" xfId="6" applyFont="1" applyBorder="1" applyAlignment="1">
      <alignment horizontal="left" vertical="center"/>
    </xf>
    <xf numFmtId="0" fontId="28" fillId="0" borderId="7" xfId="6" applyFont="1" applyBorder="1" applyAlignment="1">
      <alignment horizontal="left" vertical="center"/>
    </xf>
    <xf numFmtId="0" fontId="28" fillId="0" borderId="8" xfId="6" applyFont="1" applyBorder="1" applyAlignment="1">
      <alignment horizontal="left" vertical="center"/>
    </xf>
    <xf numFmtId="0" fontId="28" fillId="0" borderId="6" xfId="6" applyFont="1" applyBorder="1" applyAlignment="1">
      <alignment horizontal="left" vertical="center" wrapText="1"/>
    </xf>
    <xf numFmtId="0" fontId="28" fillId="0" borderId="7" xfId="6" applyFont="1" applyBorder="1" applyAlignment="1">
      <alignment horizontal="left" vertical="center" wrapText="1"/>
    </xf>
    <xf numFmtId="0" fontId="28" fillId="0" borderId="8" xfId="6" applyFont="1" applyBorder="1" applyAlignment="1">
      <alignment horizontal="left" vertical="center" wrapText="1"/>
    </xf>
    <xf numFmtId="0" fontId="28" fillId="0" borderId="5" xfId="6" applyFont="1" applyBorder="1" applyAlignment="1">
      <alignment horizontal="left" vertical="center"/>
    </xf>
    <xf numFmtId="0" fontId="29" fillId="0" borderId="6" xfId="0" applyFont="1" applyBorder="1" applyAlignment="1">
      <alignment horizontal="left" vertical="center"/>
    </xf>
    <xf numFmtId="0" fontId="29" fillId="0" borderId="8" xfId="0" applyFont="1" applyBorder="1" applyAlignment="1">
      <alignment horizontal="left"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8" fillId="8" borderId="12" xfId="6" applyFont="1" applyFill="1" applyBorder="1" applyAlignment="1">
      <alignment horizontal="left" vertical="center" wrapText="1"/>
    </xf>
    <xf numFmtId="0" fontId="28" fillId="0" borderId="6" xfId="6" applyFont="1" applyBorder="1" applyAlignment="1">
      <alignment horizontal="center" vertical="center"/>
    </xf>
    <xf numFmtId="0" fontId="28" fillId="0" borderId="8" xfId="6" applyFont="1" applyBorder="1" applyAlignment="1">
      <alignment horizontal="center" vertical="center"/>
    </xf>
    <xf numFmtId="0" fontId="29" fillId="0" borderId="6" xfId="6" applyFont="1" applyBorder="1" applyAlignment="1">
      <alignment horizontal="left" vertical="center" wrapText="1"/>
    </xf>
    <xf numFmtId="0" fontId="29" fillId="0" borderId="8" xfId="6" applyFont="1" applyBorder="1" applyAlignment="1">
      <alignment horizontal="left" vertical="center" wrapText="1"/>
    </xf>
    <xf numFmtId="0" fontId="28" fillId="0" borderId="5" xfId="6" applyFont="1" applyBorder="1" applyAlignment="1">
      <alignment horizontal="center" vertical="center"/>
    </xf>
    <xf numFmtId="0" fontId="28" fillId="0" borderId="0" xfId="6" applyFont="1" applyAlignment="1">
      <alignment horizontal="left" vertical="center" wrapText="1"/>
    </xf>
    <xf numFmtId="0" fontId="29" fillId="0" borderId="1"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31" xfId="0" applyFont="1" applyBorder="1" applyAlignment="1">
      <alignment horizontal="left" vertical="center" wrapText="1"/>
    </xf>
    <xf numFmtId="0" fontId="29" fillId="0" borderId="32"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28" fillId="0" borderId="5" xfId="6" applyFont="1" applyBorder="1" applyAlignment="1">
      <alignment horizontal="left" vertical="center" wrapText="1"/>
    </xf>
    <xf numFmtId="0" fontId="28" fillId="0" borderId="7" xfId="8" applyFont="1" applyBorder="1" applyAlignment="1">
      <alignment horizontal="left" vertical="center" wrapText="1"/>
    </xf>
    <xf numFmtId="0" fontId="29" fillId="0" borderId="1" xfId="10" applyFont="1" applyBorder="1" applyAlignment="1">
      <alignment horizontal="left" vertical="center"/>
    </xf>
    <xf numFmtId="0" fontId="29" fillId="0" borderId="33" xfId="10" applyFont="1" applyBorder="1" applyAlignment="1">
      <alignment horizontal="left" vertical="center"/>
    </xf>
    <xf numFmtId="0" fontId="29" fillId="0" borderId="3" xfId="10" applyFont="1" applyBorder="1" applyAlignment="1">
      <alignment horizontal="left" vertical="center"/>
    </xf>
    <xf numFmtId="179" fontId="29" fillId="0" borderId="5" xfId="10" applyNumberFormat="1" applyFont="1" applyBorder="1">
      <alignment vertical="center"/>
    </xf>
    <xf numFmtId="179" fontId="28" fillId="0" borderId="5" xfId="6" applyNumberFormat="1" applyFont="1" applyBorder="1" applyAlignment="1">
      <alignment vertical="center"/>
    </xf>
    <xf numFmtId="184" fontId="28" fillId="0" borderId="5" xfId="6" applyNumberFormat="1" applyFont="1" applyBorder="1" applyAlignment="1">
      <alignment vertical="center"/>
    </xf>
    <xf numFmtId="0" fontId="29" fillId="0" borderId="12" xfId="10" applyFont="1" applyBorder="1" applyAlignment="1">
      <alignment horizontal="left" vertical="center"/>
    </xf>
    <xf numFmtId="0" fontId="29" fillId="0" borderId="1" xfId="10" applyFont="1" applyBorder="1" applyAlignment="1">
      <alignment horizontal="left" vertical="center" shrinkToFit="1"/>
    </xf>
    <xf numFmtId="0" fontId="29" fillId="0" borderId="3" xfId="10" applyFont="1" applyBorder="1" applyAlignment="1">
      <alignment horizontal="left" vertical="center" shrinkToFit="1"/>
    </xf>
    <xf numFmtId="0" fontId="48" fillId="0" borderId="6" xfId="6" applyFont="1" applyBorder="1" applyAlignment="1">
      <alignment vertical="center"/>
    </xf>
    <xf numFmtId="0" fontId="48" fillId="0" borderId="5" xfId="6" applyFont="1" applyBorder="1" applyAlignment="1">
      <alignment horizontal="left" vertical="center"/>
    </xf>
    <xf numFmtId="38" fontId="48" fillId="0" borderId="5" xfId="4" applyFont="1" applyBorder="1" applyAlignment="1">
      <alignment horizontal="right" vertical="center"/>
    </xf>
  </cellXfs>
  <cellStyles count="14">
    <cellStyle name="パーセント" xfId="5" builtinId="5"/>
    <cellStyle name="ハイパーリンク" xfId="3" builtinId="8"/>
    <cellStyle name="桁区切り" xfId="4" builtinId="6"/>
    <cellStyle name="桁区切り 2" xfId="2" xr:uid="{58DCEA0D-14AA-4D66-9E22-56B78E29ADDD}"/>
    <cellStyle name="桁区切り 2 2" xfId="13" xr:uid="{4CD083E2-43A6-45E0-A733-7665B800EC7E}"/>
    <cellStyle name="桁区切り 5" xfId="7" xr:uid="{A3AC38F0-58F0-4489-B1ED-AAABC045EB23}"/>
    <cellStyle name="標準" xfId="0" builtinId="0"/>
    <cellStyle name="標準 2" xfId="1" xr:uid="{3E682BC1-91A0-4206-A086-31FB59482B25}"/>
    <cellStyle name="標準 2 2 2" xfId="10" xr:uid="{21CAB9E0-CDD4-4173-8A5C-A7FCBB4C347C}"/>
    <cellStyle name="標準 2 3" xfId="8" xr:uid="{06CF4860-01D7-4A1B-AD7A-98825E620F22}"/>
    <cellStyle name="標準 3 2" xfId="11" xr:uid="{DF9207FC-AA8C-40E0-803B-7084FF8767B6}"/>
    <cellStyle name="標準 4" xfId="12" xr:uid="{CF76F909-6ED6-4969-9E77-2B05BAF91BBA}"/>
    <cellStyle name="標準 6" xfId="6" xr:uid="{641F86CE-2AA9-418D-8EA7-F8B83DBBA92E}"/>
    <cellStyle name="標準 7" xfId="9" xr:uid="{FA579B6C-C514-416D-B62C-270ED2CFD769}"/>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persons/person.xml" Type="http://schemas.microsoft.com/office/2017/10/relationships/person"/><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18</xdr:row>
      <xdr:rowOff>190500</xdr:rowOff>
    </xdr:from>
    <xdr:to>
      <xdr:col>7</xdr:col>
      <xdr:colOff>552450</xdr:colOff>
      <xdr:row>49</xdr:row>
      <xdr:rowOff>114300</xdr:rowOff>
    </xdr:to>
    <xdr:pic>
      <xdr:nvPicPr>
        <xdr:cNvPr id="2" name="図 1">
          <a:extLst>
            <a:ext uri="{FF2B5EF4-FFF2-40B4-BE49-F238E27FC236}">
              <a16:creationId xmlns:a16="http://schemas.microsoft.com/office/drawing/2014/main" id="{4BEB19C4-328D-35C8-43AD-F79D513B827B}"/>
            </a:ext>
          </a:extLst>
        </xdr:cNvPr>
        <xdr:cNvPicPr>
          <a:picLocks noChangeAspect="1"/>
        </xdr:cNvPicPr>
      </xdr:nvPicPr>
      <xdr:blipFill rotWithShape="1">
        <a:blip xmlns:r="http://schemas.openxmlformats.org/officeDocument/2006/relationships" r:embed="rId1"/>
        <a:srcRect l="25420" t="18151" r="40357" b="10822"/>
        <a:stretch/>
      </xdr:blipFill>
      <xdr:spPr>
        <a:xfrm>
          <a:off x="47625" y="4476750"/>
          <a:ext cx="6257925" cy="7305675"/>
        </a:xfrm>
        <a:prstGeom prst="rect">
          <a:avLst/>
        </a:prstGeom>
      </xdr:spPr>
    </xdr:pic>
    <xdr:clientData/>
  </xdr:twoCellAnchor>
  <xdr:twoCellAnchor>
    <xdr:from>
      <xdr:col>0</xdr:col>
      <xdr:colOff>466725</xdr:colOff>
      <xdr:row>6</xdr:row>
      <xdr:rowOff>152400</xdr:rowOff>
    </xdr:from>
    <xdr:to>
      <xdr:col>4</xdr:col>
      <xdr:colOff>441325</xdr:colOff>
      <xdr:row>18</xdr:row>
      <xdr:rowOff>15875</xdr:rowOff>
    </xdr:to>
    <xdr:grpSp>
      <xdr:nvGrpSpPr>
        <xdr:cNvPr id="3" name="グループ化 2">
          <a:extLst>
            <a:ext uri="{FF2B5EF4-FFF2-40B4-BE49-F238E27FC236}">
              <a16:creationId xmlns:a16="http://schemas.microsoft.com/office/drawing/2014/main" id="{18970CB0-2051-F000-15A5-22E4895BAF8B}"/>
            </a:ext>
          </a:extLst>
        </xdr:cNvPr>
        <xdr:cNvGrpSpPr/>
      </xdr:nvGrpSpPr>
      <xdr:grpSpPr>
        <a:xfrm>
          <a:off x="466725" y="1590675"/>
          <a:ext cx="2717800" cy="2797175"/>
          <a:chOff x="0" y="0"/>
          <a:chExt cx="2717800" cy="2720975"/>
        </a:xfrm>
      </xdr:grpSpPr>
      <xdr:grpSp>
        <xdr:nvGrpSpPr>
          <xdr:cNvPr id="4" name="グループ化 3">
            <a:extLst>
              <a:ext uri="{FF2B5EF4-FFF2-40B4-BE49-F238E27FC236}">
                <a16:creationId xmlns:a16="http://schemas.microsoft.com/office/drawing/2014/main" id="{31441EBF-E040-833B-5FF4-2CD1CDC1CF7E}"/>
              </a:ext>
            </a:extLst>
          </xdr:cNvPr>
          <xdr:cNvGrpSpPr>
            <a:grpSpLocks/>
          </xdr:cNvGrpSpPr>
        </xdr:nvGrpSpPr>
        <xdr:grpSpPr>
          <a:xfrm>
            <a:off x="0" y="0"/>
            <a:ext cx="2717800" cy="2595880"/>
            <a:chOff x="0" y="0"/>
            <a:chExt cx="2717800" cy="2595950"/>
          </a:xfrm>
        </xdr:grpSpPr>
        <xdr:sp macro="" textlink="">
          <xdr:nvSpPr>
            <xdr:cNvPr id="8" name="テキスト ボックス 1">
              <a:extLst>
                <a:ext uri="{FF2B5EF4-FFF2-40B4-BE49-F238E27FC236}">
                  <a16:creationId xmlns:a16="http://schemas.microsoft.com/office/drawing/2014/main" id="{C5D29072-645B-BD84-3940-E44A79268668}"/>
                </a:ext>
              </a:extLst>
            </xdr:cNvPr>
            <xdr:cNvSpPr txBox="1"/>
          </xdr:nvSpPr>
          <xdr:spPr>
            <a:xfrm>
              <a:off x="1231900" y="0"/>
              <a:ext cx="9334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決定権者</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9" name="テキスト ボックス 1">
              <a:extLst>
                <a:ext uri="{FF2B5EF4-FFF2-40B4-BE49-F238E27FC236}">
                  <a16:creationId xmlns:a16="http://schemas.microsoft.com/office/drawing/2014/main" id="{6F397F7C-A3E1-4802-AE86-36B770251ED5}"/>
                </a:ext>
              </a:extLst>
            </xdr:cNvPr>
            <xdr:cNvSpPr txBox="1"/>
          </xdr:nvSpPr>
          <xdr:spPr>
            <a:xfrm>
              <a:off x="122555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企画調整ｸﾞﾙｰﾌﾟ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0" name="テキスト ボックス 1">
              <a:extLst>
                <a:ext uri="{FF2B5EF4-FFF2-40B4-BE49-F238E27FC236}">
                  <a16:creationId xmlns:a16="http://schemas.microsoft.com/office/drawing/2014/main" id="{292F8D6E-4313-0A39-4FA5-078548A78CD6}"/>
                </a:ext>
              </a:extLst>
            </xdr:cNvPr>
            <xdr:cNvSpPr txBox="1"/>
          </xdr:nvSpPr>
          <xdr:spPr>
            <a:xfrm>
              <a:off x="1631950" y="850900"/>
              <a:ext cx="1085850"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情報収集ｸﾞﾙｰﾌﾟ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1" name="テキスト ボックス 1">
              <a:extLst>
                <a:ext uri="{FF2B5EF4-FFF2-40B4-BE49-F238E27FC236}">
                  <a16:creationId xmlns:a16="http://schemas.microsoft.com/office/drawing/2014/main" id="{F29D981D-8F6A-70EF-C15F-43513DE42203}"/>
                </a:ext>
              </a:extLst>
            </xdr:cNvPr>
            <xdr:cNvSpPr txBox="1"/>
          </xdr:nvSpPr>
          <xdr:spPr>
            <a:xfrm>
              <a:off x="1651000" y="12255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a:solidFill>
                    <a:sysClr val="windowText" lastClr="000000"/>
                  </a:solidFill>
                  <a:effectLst/>
                  <a:latin typeface="ＭＳ ゴシック" panose="020B0609070205080204" pitchFamily="49" charset="-128"/>
                  <a:ea typeface="ＭＳ 明朝" panose="02020609040205080304" pitchFamily="17" charset="-128"/>
                  <a:cs typeface="ＭＳ ゴシック" panose="020B0609070205080204" pitchFamily="49" charset="-128"/>
                </a:rPr>
                <a:t>生活系ごみｸﾞﾙｰﾌﾟ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2" name="テキスト ボックス 1">
              <a:extLst>
                <a:ext uri="{FF2B5EF4-FFF2-40B4-BE49-F238E27FC236}">
                  <a16:creationId xmlns:a16="http://schemas.microsoft.com/office/drawing/2014/main" id="{62CE81F8-4CE8-2FA3-53A9-72C7AF5F1DEC}"/>
                </a:ext>
              </a:extLst>
            </xdr:cNvPr>
            <xdr:cNvSpPr txBox="1"/>
          </xdr:nvSpPr>
          <xdr:spPr>
            <a:xfrm>
              <a:off x="1644650" y="15557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災害廃棄物ｸﾞﾙｰﾌﾟ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3" name="テキスト ボックス 1">
              <a:extLst>
                <a:ext uri="{FF2B5EF4-FFF2-40B4-BE49-F238E27FC236}">
                  <a16:creationId xmlns:a16="http://schemas.microsoft.com/office/drawing/2014/main" id="{7FDD26FA-C3AD-19F8-CA63-306B606BD2AF}"/>
                </a:ext>
              </a:extLst>
            </xdr:cNvPr>
            <xdr:cNvSpPr txBox="1"/>
          </xdr:nvSpPr>
          <xdr:spPr>
            <a:xfrm>
              <a:off x="1631950" y="18732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仮置場ｸﾞﾙｰﾌﾟ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4" name="テキスト ボックス 1">
              <a:extLst>
                <a:ext uri="{FF2B5EF4-FFF2-40B4-BE49-F238E27FC236}">
                  <a16:creationId xmlns:a16="http://schemas.microsoft.com/office/drawing/2014/main" id="{DA646461-BF12-C240-6EB0-BE7E2116852E}"/>
                </a:ext>
              </a:extLst>
            </xdr:cNvPr>
            <xdr:cNvSpPr txBox="1"/>
          </xdr:nvSpPr>
          <xdr:spPr>
            <a:xfrm>
              <a:off x="1619250" y="219710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契約ｸﾞﾙｰﾌﾟ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5" name="テキスト ボックス 1">
              <a:extLst>
                <a:ext uri="{FF2B5EF4-FFF2-40B4-BE49-F238E27FC236}">
                  <a16:creationId xmlns:a16="http://schemas.microsoft.com/office/drawing/2014/main" id="{9663CDB5-4033-8645-FC6F-F7B6B364721A}"/>
                </a:ext>
              </a:extLst>
            </xdr:cNvPr>
            <xdr:cNvSpPr txBox="1"/>
          </xdr:nvSpPr>
          <xdr:spPr>
            <a:xfrm>
              <a:off x="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災害対策本部</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cxnSp macro="">
          <xdr:nvCxnSpPr>
            <xdr:cNvPr id="16" name="直線矢印コネクタ 15">
              <a:extLst>
                <a:ext uri="{FF2B5EF4-FFF2-40B4-BE49-F238E27FC236}">
                  <a16:creationId xmlns:a16="http://schemas.microsoft.com/office/drawing/2014/main" id="{B695DA26-F2E1-2A7B-6819-E76C4B30A12C}"/>
                </a:ext>
              </a:extLst>
            </xdr:cNvPr>
            <xdr:cNvCxnSpPr/>
          </xdr:nvCxnSpPr>
          <xdr:spPr>
            <a:xfrm>
              <a:off x="1676400" y="209550"/>
              <a:ext cx="0" cy="216000"/>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8D334915-7792-EC28-4743-71312CF700AA}"/>
                </a:ext>
              </a:extLst>
            </xdr:cNvPr>
            <xdr:cNvCxnSpPr/>
          </xdr:nvCxnSpPr>
          <xdr:spPr>
            <a:xfrm flipH="1" flipV="1">
              <a:off x="971550" y="508000"/>
              <a:ext cx="241300" cy="0"/>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66629370-64F6-0909-DC6E-03908B81CA59}"/>
                </a:ext>
              </a:extLst>
            </xdr:cNvPr>
            <xdr:cNvCxnSpPr/>
          </xdr:nvCxnSpPr>
          <xdr:spPr>
            <a:xfrm>
              <a:off x="1473200" y="615950"/>
              <a:ext cx="0" cy="198000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1DC47FA-1521-5E76-3D54-D41ADF839D5D}"/>
                </a:ext>
              </a:extLst>
            </xdr:cNvPr>
            <xdr:cNvCxnSpPr/>
          </xdr:nvCxnSpPr>
          <xdr:spPr>
            <a:xfrm flipH="1">
              <a:off x="1479550" y="952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7954710D-ED29-DF20-CE52-0A79472F6E66}"/>
                </a:ext>
              </a:extLst>
            </xdr:cNvPr>
            <xdr:cNvCxnSpPr/>
          </xdr:nvCxnSpPr>
          <xdr:spPr>
            <a:xfrm flipH="1">
              <a:off x="1473200" y="1333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29F2F495-B6AD-B058-96E2-F2F0FD2000F9}"/>
                </a:ext>
              </a:extLst>
            </xdr:cNvPr>
            <xdr:cNvCxnSpPr/>
          </xdr:nvCxnSpPr>
          <xdr:spPr>
            <a:xfrm flipH="1">
              <a:off x="1466850" y="168275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E6CCA169-95CD-9561-4FE1-A7F065759481}"/>
                </a:ext>
              </a:extLst>
            </xdr:cNvPr>
            <xdr:cNvCxnSpPr/>
          </xdr:nvCxnSpPr>
          <xdr:spPr>
            <a:xfrm flipH="1">
              <a:off x="1485900" y="1968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FC49927F-166A-AFF6-09F8-5B1B7D177978}"/>
                </a:ext>
              </a:extLst>
            </xdr:cNvPr>
            <xdr:cNvCxnSpPr/>
          </xdr:nvCxnSpPr>
          <xdr:spPr>
            <a:xfrm flipH="1">
              <a:off x="1466850" y="229235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100390-EB17-BE90-6984-069A5AA5D916}"/>
              </a:ext>
            </a:extLst>
          </xdr:cNvPr>
          <xdr:cNvGrpSpPr/>
        </xdr:nvGrpSpPr>
        <xdr:grpSpPr>
          <a:xfrm>
            <a:off x="1476375" y="2505075"/>
            <a:ext cx="1190625" cy="215900"/>
            <a:chOff x="0" y="0"/>
            <a:chExt cx="1190625" cy="215900"/>
          </a:xfrm>
        </xdr:grpSpPr>
        <xdr:cxnSp macro="">
          <xdr:nvCxnSpPr>
            <xdr:cNvPr id="6" name="直線矢印コネクタ 5">
              <a:extLst>
                <a:ext uri="{FF2B5EF4-FFF2-40B4-BE49-F238E27FC236}">
                  <a16:creationId xmlns:a16="http://schemas.microsoft.com/office/drawing/2014/main" id="{2FA5F488-DD9D-96DF-B4A8-4CB431B44D86}"/>
                </a:ext>
              </a:extLst>
            </xdr:cNvPr>
            <xdr:cNvCxnSpPr>
              <a:cxnSpLocks/>
            </xdr:cNvCxnSpPr>
          </xdr:nvCxnSpPr>
          <xdr:spPr>
            <a:xfrm flipH="1">
              <a:off x="0" y="85725"/>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22">
              <a:extLst>
                <a:ext uri="{FF2B5EF4-FFF2-40B4-BE49-F238E27FC236}">
                  <a16:creationId xmlns:a16="http://schemas.microsoft.com/office/drawing/2014/main" id="{862E5F0D-A8E8-07FE-234F-FEA7974645BA}"/>
                </a:ext>
              </a:extLst>
            </xdr:cNvPr>
            <xdr:cNvSpPr txBox="1">
              <a:spLocks/>
            </xdr:cNvSpPr>
          </xdr:nvSpPr>
          <xdr:spPr>
            <a:xfrm>
              <a:off x="142875" y="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rgbClr val="FF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公費解体ｸﾞﾙｰﾌﾟ</a:t>
              </a:r>
              <a:endParaRPr lang="ja-JP" sz="1100">
                <a:solidFill>
                  <a:srgbClr val="FF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grpSp>
    </xdr:grpSp>
    <xdr:clientData/>
  </xdr:twoCellAnchor>
  <xdr:twoCellAnchor>
    <xdr:from>
      <xdr:col>1</xdr:col>
      <xdr:colOff>400050</xdr:colOff>
      <xdr:row>5</xdr:row>
      <xdr:rowOff>57150</xdr:rowOff>
    </xdr:from>
    <xdr:to>
      <xdr:col>5</xdr:col>
      <xdr:colOff>76200</xdr:colOff>
      <xdr:row>6</xdr:row>
      <xdr:rowOff>104775</xdr:rowOff>
    </xdr:to>
    <xdr:sp macro="" textlink="">
      <xdr:nvSpPr>
        <xdr:cNvPr id="24" name="テキスト ボックス 23">
          <a:extLst>
            <a:ext uri="{FF2B5EF4-FFF2-40B4-BE49-F238E27FC236}">
              <a16:creationId xmlns:a16="http://schemas.microsoft.com/office/drawing/2014/main" id="{67E950A9-E52D-B282-B933-722589D3973C}"/>
            </a:ext>
          </a:extLst>
        </xdr:cNvPr>
        <xdr:cNvSpPr txBox="1"/>
      </xdr:nvSpPr>
      <xdr:spPr>
        <a:xfrm>
          <a:off x="1085850" y="1009650"/>
          <a:ext cx="24193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災害廃棄物担当組織図（例）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65</xdr:row>
      <xdr:rowOff>9525</xdr:rowOff>
    </xdr:from>
    <xdr:to>
      <xdr:col>2</xdr:col>
      <xdr:colOff>1504950</xdr:colOff>
      <xdr:row>66</xdr:row>
      <xdr:rowOff>28575</xdr:rowOff>
    </xdr:to>
    <xdr:sp macro="" textlink="">
      <xdr:nvSpPr>
        <xdr:cNvPr id="7191" name="Text Box 23">
          <a:extLst>
            <a:ext uri="{FF2B5EF4-FFF2-40B4-BE49-F238E27FC236}">
              <a16:creationId xmlns:a16="http://schemas.microsoft.com/office/drawing/2014/main" id="{C5A26112-8C1A-A355-563B-41A54DA3AEA2}"/>
            </a:ext>
          </a:extLst>
        </xdr:cNvPr>
        <xdr:cNvSpPr txBox="1">
          <a:spLocks noChangeArrowheads="1"/>
        </xdr:cNvSpPr>
      </xdr:nvSpPr>
      <xdr:spPr bwMode="auto">
        <a:xfrm>
          <a:off x="3028950" y="9686925"/>
          <a:ext cx="1524000" cy="161925"/>
        </a:xfrm>
        <a:prstGeom prst="rect">
          <a:avLst/>
        </a:prstGeom>
        <a:solidFill>
          <a:srgbClr val="FFFFFF"/>
        </a:solidFill>
        <a:ln w="9525">
          <a:solidFill>
            <a:srgbClr val="7F7F7F"/>
          </a:solidFill>
          <a:miter lim="800000"/>
          <a:headEnd/>
          <a:tailEnd/>
        </a:ln>
      </xdr:spPr>
      <xdr:txBody>
        <a:bodyPr vertOverflow="clip" wrap="square" lIns="36000" tIns="0" rIns="36000" bIns="0" anchor="t" upright="1"/>
        <a:lstStyle/>
        <a:p>
          <a:pPr algn="l" rtl="0">
            <a:defRPr sz="1000"/>
          </a:pPr>
          <a:r>
            <a:rPr lang="ja-JP" altLang="en-US" sz="900" b="0" i="0" u="none" strike="noStrike" baseline="0">
              <a:solidFill>
                <a:srgbClr val="000000"/>
              </a:solidFill>
              <a:latin typeface="ＭＳ 明朝"/>
              <a:ea typeface="ＭＳ 明朝"/>
            </a:rPr>
            <a:t>災害廃棄物収取運搬</a:t>
          </a:r>
        </a:p>
      </xdr:txBody>
    </xdr:sp>
    <xdr:clientData/>
  </xdr:twoCellAnchor>
  <xdr:twoCellAnchor>
    <xdr:from>
      <xdr:col>1</xdr:col>
      <xdr:colOff>409575</xdr:colOff>
      <xdr:row>63</xdr:row>
      <xdr:rowOff>76200</xdr:rowOff>
    </xdr:from>
    <xdr:to>
      <xdr:col>2</xdr:col>
      <xdr:colOff>1504950</xdr:colOff>
      <xdr:row>64</xdr:row>
      <xdr:rowOff>104775</xdr:rowOff>
    </xdr:to>
    <xdr:sp macro="" textlink="">
      <xdr:nvSpPr>
        <xdr:cNvPr id="7190" name="Text Box 22">
          <a:extLst>
            <a:ext uri="{FF2B5EF4-FFF2-40B4-BE49-F238E27FC236}">
              <a16:creationId xmlns:a16="http://schemas.microsoft.com/office/drawing/2014/main" id="{243491C6-0A8A-7595-08BD-057C65C32B46}"/>
            </a:ext>
          </a:extLst>
        </xdr:cNvPr>
        <xdr:cNvSpPr txBox="1">
          <a:spLocks noChangeArrowheads="1"/>
        </xdr:cNvSpPr>
      </xdr:nvSpPr>
      <xdr:spPr bwMode="auto">
        <a:xfrm>
          <a:off x="3028950" y="9467850"/>
          <a:ext cx="1524000" cy="171450"/>
        </a:xfrm>
        <a:prstGeom prst="rect">
          <a:avLst/>
        </a:prstGeom>
        <a:solidFill>
          <a:srgbClr val="FFFFFF"/>
        </a:solidFill>
        <a:ln w="9525">
          <a:solidFill>
            <a:srgbClr val="7F7F7F"/>
          </a:solidFill>
          <a:miter lim="800000"/>
          <a:headEnd/>
          <a:tailEnd/>
        </a:ln>
      </xdr:spPr>
      <xdr:txBody>
        <a:bodyPr vertOverflow="clip" wrap="square" lIns="36000" tIns="0" rIns="36000" bIns="0" anchor="t" upright="1"/>
        <a:lstStyle/>
        <a:p>
          <a:pPr algn="l" rtl="0">
            <a:defRPr sz="1000"/>
          </a:pPr>
          <a:r>
            <a:rPr lang="ja-JP" altLang="en-US" sz="900" b="0" i="0" u="none" strike="noStrike" baseline="0">
              <a:solidFill>
                <a:srgbClr val="000000"/>
              </a:solidFill>
              <a:latin typeface="ＭＳ 明朝"/>
              <a:ea typeface="ＭＳ 明朝"/>
            </a:rPr>
            <a:t>生活ごみ等収集運搬</a:t>
          </a:r>
        </a:p>
      </xdr:txBody>
    </xdr:sp>
    <xdr:clientData/>
  </xdr:twoCellAnchor>
  <xdr:twoCellAnchor>
    <xdr:from>
      <xdr:col>1</xdr:col>
      <xdr:colOff>285750</xdr:colOff>
      <xdr:row>61</xdr:row>
      <xdr:rowOff>104776</xdr:rowOff>
    </xdr:from>
    <xdr:to>
      <xdr:col>2</xdr:col>
      <xdr:colOff>1685925</xdr:colOff>
      <xdr:row>66</xdr:row>
      <xdr:rowOff>95251</xdr:rowOff>
    </xdr:to>
    <xdr:sp macro="" textlink="">
      <xdr:nvSpPr>
        <xdr:cNvPr id="2" name="四角形: 角を丸くする 1">
          <a:extLst>
            <a:ext uri="{FF2B5EF4-FFF2-40B4-BE49-F238E27FC236}">
              <a16:creationId xmlns:a16="http://schemas.microsoft.com/office/drawing/2014/main" id="{C216F49F-4AE2-25C5-DF4D-39AB92A213F4}"/>
            </a:ext>
          </a:extLst>
        </xdr:cNvPr>
        <xdr:cNvSpPr/>
      </xdr:nvSpPr>
      <xdr:spPr>
        <a:xfrm>
          <a:off x="2905125" y="9210676"/>
          <a:ext cx="1828800" cy="7048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409574</xdr:colOff>
      <xdr:row>62</xdr:row>
      <xdr:rowOff>9525</xdr:rowOff>
    </xdr:from>
    <xdr:to>
      <xdr:col>2</xdr:col>
      <xdr:colOff>1504950</xdr:colOff>
      <xdr:row>63</xdr:row>
      <xdr:rowOff>28575</xdr:rowOff>
    </xdr:to>
    <xdr:sp macro="" textlink="">
      <xdr:nvSpPr>
        <xdr:cNvPr id="7188" name="Text Box 20">
          <a:extLst>
            <a:ext uri="{FF2B5EF4-FFF2-40B4-BE49-F238E27FC236}">
              <a16:creationId xmlns:a16="http://schemas.microsoft.com/office/drawing/2014/main" id="{48BF861E-3B75-0305-4AFA-EF5008CF2D29}"/>
            </a:ext>
          </a:extLst>
        </xdr:cNvPr>
        <xdr:cNvSpPr txBox="1">
          <a:spLocks noChangeArrowheads="1"/>
        </xdr:cNvSpPr>
      </xdr:nvSpPr>
      <xdr:spPr bwMode="auto">
        <a:xfrm>
          <a:off x="3028949" y="9258300"/>
          <a:ext cx="1524001"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36000" bIns="0" anchor="t" upright="1"/>
        <a:lstStyle/>
        <a:p>
          <a:pPr algn="l" rtl="0">
            <a:defRPr sz="1000"/>
          </a:pPr>
          <a:r>
            <a:rPr lang="ja-JP" altLang="en-US" sz="900" b="0" i="0" u="none" strike="noStrike" baseline="0">
              <a:solidFill>
                <a:srgbClr val="000000"/>
              </a:solidFill>
              <a:latin typeface="ＭＳ 明朝"/>
              <a:ea typeface="ＭＳ 明朝"/>
            </a:rPr>
            <a:t>仮置場設置・運営・管理</a:t>
          </a:r>
        </a:p>
      </xdr:txBody>
    </xdr:sp>
    <xdr:clientData/>
  </xdr:twoCellAnchor>
  <xdr:twoCellAnchor>
    <xdr:from>
      <xdr:col>0</xdr:col>
      <xdr:colOff>76200</xdr:colOff>
      <xdr:row>53</xdr:row>
      <xdr:rowOff>47625</xdr:rowOff>
    </xdr:from>
    <xdr:to>
      <xdr:col>1</xdr:col>
      <xdr:colOff>247650</xdr:colOff>
      <xdr:row>69</xdr:row>
      <xdr:rowOff>15875</xdr:rowOff>
    </xdr:to>
    <xdr:grpSp>
      <xdr:nvGrpSpPr>
        <xdr:cNvPr id="3" name="グループ化 2">
          <a:extLst>
            <a:ext uri="{FF2B5EF4-FFF2-40B4-BE49-F238E27FC236}">
              <a16:creationId xmlns:a16="http://schemas.microsoft.com/office/drawing/2014/main" id="{9B51A9AA-F0E5-D6BB-C132-752553804F6F}"/>
            </a:ext>
          </a:extLst>
        </xdr:cNvPr>
        <xdr:cNvGrpSpPr/>
      </xdr:nvGrpSpPr>
      <xdr:grpSpPr>
        <a:xfrm>
          <a:off x="76200" y="7705725"/>
          <a:ext cx="2790825" cy="2273300"/>
          <a:chOff x="0" y="-66675"/>
          <a:chExt cx="2790825" cy="2273300"/>
        </a:xfrm>
      </xdr:grpSpPr>
      <xdr:grpSp>
        <xdr:nvGrpSpPr>
          <xdr:cNvPr id="4" name="グループ化 3">
            <a:extLst>
              <a:ext uri="{FF2B5EF4-FFF2-40B4-BE49-F238E27FC236}">
                <a16:creationId xmlns:a16="http://schemas.microsoft.com/office/drawing/2014/main" id="{78B33624-3CDB-68A2-77B6-DE3627B9E7E2}"/>
              </a:ext>
            </a:extLst>
          </xdr:cNvPr>
          <xdr:cNvGrpSpPr/>
        </xdr:nvGrpSpPr>
        <xdr:grpSpPr>
          <a:xfrm>
            <a:off x="0" y="-66675"/>
            <a:ext cx="2717800" cy="2273300"/>
            <a:chOff x="0" y="-66675"/>
            <a:chExt cx="2717800" cy="2273300"/>
          </a:xfrm>
        </xdr:grpSpPr>
        <xdr:grpSp>
          <xdr:nvGrpSpPr>
            <xdr:cNvPr id="10" name="グループ化 9">
              <a:extLst>
                <a:ext uri="{FF2B5EF4-FFF2-40B4-BE49-F238E27FC236}">
                  <a16:creationId xmlns:a16="http://schemas.microsoft.com/office/drawing/2014/main" id="{036CA2C9-6064-3F8F-1295-7421D99A6890}"/>
                </a:ext>
              </a:extLst>
            </xdr:cNvPr>
            <xdr:cNvGrpSpPr>
              <a:grpSpLocks/>
            </xdr:cNvGrpSpPr>
          </xdr:nvGrpSpPr>
          <xdr:grpSpPr>
            <a:xfrm>
              <a:off x="0" y="-66675"/>
              <a:ext cx="2717800" cy="2230609"/>
              <a:chOff x="0" y="-66677"/>
              <a:chExt cx="2717800" cy="2230669"/>
            </a:xfrm>
          </xdr:grpSpPr>
          <xdr:sp macro="" textlink="">
            <xdr:nvSpPr>
              <xdr:cNvPr id="12" name="テキスト ボックス 1">
                <a:extLst>
                  <a:ext uri="{FF2B5EF4-FFF2-40B4-BE49-F238E27FC236}">
                    <a16:creationId xmlns:a16="http://schemas.microsoft.com/office/drawing/2014/main" id="{229D1B63-7DCD-AF25-09D3-1DC13A75FB64}"/>
                  </a:ext>
                </a:extLst>
              </xdr:cNvPr>
              <xdr:cNvSpPr txBox="1"/>
            </xdr:nvSpPr>
            <xdr:spPr>
              <a:xfrm>
                <a:off x="1231900" y="-66677"/>
                <a:ext cx="9334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決定権者</a:t>
                </a:r>
                <a:endParaRPr lang="ja-JP" sz="1050" kern="100">
                  <a:effectLst/>
                  <a:ea typeface="游明朝" panose="02020400000000000000" pitchFamily="18" charset="-128"/>
                  <a:cs typeface="Times New Roman" panose="02020603050405020304" pitchFamily="18" charset="0"/>
                </a:endParaRPr>
              </a:p>
            </xdr:txBody>
          </xdr:sp>
          <xdr:sp macro="" textlink="">
            <xdr:nvSpPr>
              <xdr:cNvPr id="13" name="テキスト ボックス 1">
                <a:extLst>
                  <a:ext uri="{FF2B5EF4-FFF2-40B4-BE49-F238E27FC236}">
                    <a16:creationId xmlns:a16="http://schemas.microsoft.com/office/drawing/2014/main" id="{E9903A80-819D-0C9A-A568-AE1895236567}"/>
                  </a:ext>
                </a:extLst>
              </xdr:cNvPr>
              <xdr:cNvSpPr txBox="1"/>
            </xdr:nvSpPr>
            <xdr:spPr>
              <a:xfrm>
                <a:off x="122555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企画調整ｸﾞﾙｰﾌﾟ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4" name="テキスト ボックス 1">
                <a:extLst>
                  <a:ext uri="{FF2B5EF4-FFF2-40B4-BE49-F238E27FC236}">
                    <a16:creationId xmlns:a16="http://schemas.microsoft.com/office/drawing/2014/main" id="{109915CE-C737-0F77-0A39-700899534649}"/>
                  </a:ext>
                </a:extLst>
              </xdr:cNvPr>
              <xdr:cNvSpPr txBox="1"/>
            </xdr:nvSpPr>
            <xdr:spPr>
              <a:xfrm>
                <a:off x="1631950" y="688971"/>
                <a:ext cx="1085850"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情報収集ｸﾞﾙｰﾌﾟ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5" name="テキスト ボックス 1">
                <a:extLst>
                  <a:ext uri="{FF2B5EF4-FFF2-40B4-BE49-F238E27FC236}">
                    <a16:creationId xmlns:a16="http://schemas.microsoft.com/office/drawing/2014/main" id="{6E6B242B-7CD9-728A-D67C-E5FCA4C780DD}"/>
                  </a:ext>
                </a:extLst>
              </xdr:cNvPr>
              <xdr:cNvSpPr txBox="1"/>
            </xdr:nvSpPr>
            <xdr:spPr>
              <a:xfrm>
                <a:off x="298450" y="996944"/>
                <a:ext cx="1047750" cy="215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生活系ごみｸﾞﾙｰﾌﾟ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6" name="テキスト ボックス 1">
                <a:extLst>
                  <a:ext uri="{FF2B5EF4-FFF2-40B4-BE49-F238E27FC236}">
                    <a16:creationId xmlns:a16="http://schemas.microsoft.com/office/drawing/2014/main" id="{025C4241-6019-76A8-DEC0-C646712836E2}"/>
                  </a:ext>
                </a:extLst>
              </xdr:cNvPr>
              <xdr:cNvSpPr txBox="1"/>
            </xdr:nvSpPr>
            <xdr:spPr>
              <a:xfrm>
                <a:off x="298450" y="1250942"/>
                <a:ext cx="1047750" cy="215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災害廃棄物ｸﾞﾙｰﾌﾟ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7" name="テキスト ボックス 1">
                <a:extLst>
                  <a:ext uri="{FF2B5EF4-FFF2-40B4-BE49-F238E27FC236}">
                    <a16:creationId xmlns:a16="http://schemas.microsoft.com/office/drawing/2014/main" id="{9B634580-FF87-C2D0-A7FE-6A96D4D91231}"/>
                  </a:ext>
                </a:extLst>
              </xdr:cNvPr>
              <xdr:cNvSpPr txBox="1"/>
            </xdr:nvSpPr>
            <xdr:spPr>
              <a:xfrm>
                <a:off x="298450" y="1501186"/>
                <a:ext cx="1047750" cy="215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仮置場ｸﾞﾙｰﾌﾟ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8" name="テキスト ボックス 1">
                <a:extLst>
                  <a:ext uri="{FF2B5EF4-FFF2-40B4-BE49-F238E27FC236}">
                    <a16:creationId xmlns:a16="http://schemas.microsoft.com/office/drawing/2014/main" id="{0647B755-9837-05E8-337B-A95A02C5DDA6}"/>
                  </a:ext>
                </a:extLst>
              </xdr:cNvPr>
              <xdr:cNvSpPr txBox="1"/>
            </xdr:nvSpPr>
            <xdr:spPr>
              <a:xfrm>
                <a:off x="298450" y="1749413"/>
                <a:ext cx="1047750" cy="215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契約ｸﾞﾙｰﾌﾟ</a:t>
                </a:r>
                <a:endParaRPr lang="ja-JP" sz="1050" kern="100">
                  <a:effectLst/>
                  <a:ea typeface="游明朝" panose="02020400000000000000" pitchFamily="18" charset="-128"/>
                  <a:cs typeface="Times New Roman" panose="02020603050405020304" pitchFamily="18" charset="0"/>
                </a:endParaRPr>
              </a:p>
            </xdr:txBody>
          </xdr:sp>
          <xdr:sp macro="" textlink="">
            <xdr:nvSpPr>
              <xdr:cNvPr id="19" name="テキスト ボックス 1">
                <a:extLst>
                  <a:ext uri="{FF2B5EF4-FFF2-40B4-BE49-F238E27FC236}">
                    <a16:creationId xmlns:a16="http://schemas.microsoft.com/office/drawing/2014/main" id="{0059071C-78D3-B8CF-FCED-26EE3BE00A94}"/>
                  </a:ext>
                </a:extLst>
              </xdr:cNvPr>
              <xdr:cNvSpPr txBox="1"/>
            </xdr:nvSpPr>
            <xdr:spPr>
              <a:xfrm>
                <a:off x="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災害対策本部</a:t>
                </a:r>
                <a:endParaRPr lang="ja-JP" sz="1050" kern="100">
                  <a:effectLst/>
                  <a:ea typeface="游明朝" panose="02020400000000000000" pitchFamily="18" charset="-128"/>
                  <a:cs typeface="Times New Roman" panose="02020603050405020304" pitchFamily="18" charset="0"/>
                </a:endParaRPr>
              </a:p>
            </xdr:txBody>
          </xdr:sp>
          <xdr:cxnSp macro="">
            <xdr:nvCxnSpPr>
              <xdr:cNvPr id="20" name="直線矢印コネクタ 19">
                <a:extLst>
                  <a:ext uri="{FF2B5EF4-FFF2-40B4-BE49-F238E27FC236}">
                    <a16:creationId xmlns:a16="http://schemas.microsoft.com/office/drawing/2014/main" id="{9303FCB8-CD3D-32E2-D134-DD6FF0D3D583}"/>
                  </a:ext>
                </a:extLst>
              </xdr:cNvPr>
              <xdr:cNvCxnSpPr/>
            </xdr:nvCxnSpPr>
            <xdr:spPr>
              <a:xfrm flipH="1">
                <a:off x="1676400" y="155573"/>
                <a:ext cx="0" cy="305984"/>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33911B4E-EDE7-B3DB-128B-ED256E0E4FE5}"/>
                  </a:ext>
                </a:extLst>
              </xdr:cNvPr>
              <xdr:cNvCxnSpPr/>
            </xdr:nvCxnSpPr>
            <xdr:spPr>
              <a:xfrm flipH="1" flipV="1">
                <a:off x="971550" y="508000"/>
                <a:ext cx="241300" cy="0"/>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48A1893D-CE09-7D22-DC16-93051BEA1241}"/>
                  </a:ext>
                </a:extLst>
              </xdr:cNvPr>
              <xdr:cNvCxnSpPr/>
            </xdr:nvCxnSpPr>
            <xdr:spPr>
              <a:xfrm>
                <a:off x="1473200" y="615950"/>
                <a:ext cx="0" cy="1548042"/>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4EA4338F-558E-DAC2-9015-2970CFC39CDA}"/>
                  </a:ext>
                </a:extLst>
              </xdr:cNvPr>
              <xdr:cNvCxnSpPr/>
            </xdr:nvCxnSpPr>
            <xdr:spPr>
              <a:xfrm flipH="1">
                <a:off x="1479550" y="79057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B36711DA-C0D5-25A8-8C52-82F82A174831}"/>
                  </a:ext>
                </a:extLst>
              </xdr:cNvPr>
              <xdr:cNvCxnSpPr/>
            </xdr:nvCxnSpPr>
            <xdr:spPr>
              <a:xfrm flipV="1">
                <a:off x="1335550" y="1114419"/>
                <a:ext cx="144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11" name="テキスト ボックス 3274">
              <a:extLst>
                <a:ext uri="{FF2B5EF4-FFF2-40B4-BE49-F238E27FC236}">
                  <a16:creationId xmlns:a16="http://schemas.microsoft.com/office/drawing/2014/main" id="{DF0F8A52-CF29-42F0-C165-9A0158D11B04}"/>
                </a:ext>
              </a:extLst>
            </xdr:cNvPr>
            <xdr:cNvSpPr txBox="1">
              <a:spLocks/>
            </xdr:cNvSpPr>
          </xdr:nvSpPr>
          <xdr:spPr>
            <a:xfrm>
              <a:off x="298450" y="1990725"/>
              <a:ext cx="1047750" cy="215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kern="100">
                  <a:effectLst/>
                  <a:ea typeface="ＭＳ 明朝" panose="02020609040205080304" pitchFamily="17" charset="-128"/>
                  <a:cs typeface="Times New Roman" panose="02020603050405020304" pitchFamily="18" charset="0"/>
                </a:rPr>
                <a:t>公費解体ｸﾞﾙｰﾌﾟ</a:t>
              </a:r>
              <a:endParaRPr lang="ja-JP" sz="1050" kern="100">
                <a:effectLst/>
                <a:ea typeface="游明朝" panose="02020400000000000000" pitchFamily="18" charset="-128"/>
                <a:cs typeface="Times New Roman" panose="02020603050405020304" pitchFamily="18" charset="0"/>
              </a:endParaRPr>
            </a:p>
          </xdr:txBody>
        </xdr:sp>
      </xdr:grpSp>
      <xdr:sp macro="" textlink="">
        <xdr:nvSpPr>
          <xdr:cNvPr id="5" name="四角形: 角を丸くする 4">
            <a:extLst>
              <a:ext uri="{FF2B5EF4-FFF2-40B4-BE49-F238E27FC236}">
                <a16:creationId xmlns:a16="http://schemas.microsoft.com/office/drawing/2014/main" id="{5F0EEB46-A24C-D93E-FDB4-52A5D67E9ECF}"/>
              </a:ext>
            </a:extLst>
          </xdr:cNvPr>
          <xdr:cNvSpPr/>
        </xdr:nvSpPr>
        <xdr:spPr>
          <a:xfrm>
            <a:off x="1066800" y="323850"/>
            <a:ext cx="1724025" cy="6191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6" name="直線矢印コネクタ 5">
            <a:extLst>
              <a:ext uri="{FF2B5EF4-FFF2-40B4-BE49-F238E27FC236}">
                <a16:creationId xmlns:a16="http://schemas.microsoft.com/office/drawing/2014/main" id="{62FB73EA-BEFF-E2D4-ABE3-951D705E7470}"/>
              </a:ext>
            </a:extLst>
          </xdr:cNvPr>
          <xdr:cNvCxnSpPr/>
        </xdr:nvCxnSpPr>
        <xdr:spPr>
          <a:xfrm flipV="1">
            <a:off x="1323975" y="1400175"/>
            <a:ext cx="144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A61353E3-FAB9-D5FE-9AA1-CC766220AC67}"/>
              </a:ext>
            </a:extLst>
          </xdr:cNvPr>
          <xdr:cNvCxnSpPr/>
        </xdr:nvCxnSpPr>
        <xdr:spPr>
          <a:xfrm flipV="1">
            <a:off x="1323975" y="1647825"/>
            <a:ext cx="144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210A62CE-AF81-D78F-646B-8ACB40287495}"/>
              </a:ext>
            </a:extLst>
          </xdr:cNvPr>
          <xdr:cNvCxnSpPr/>
        </xdr:nvCxnSpPr>
        <xdr:spPr>
          <a:xfrm flipV="1">
            <a:off x="1323975" y="1914525"/>
            <a:ext cx="144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1729B4A6-2EB9-C55E-D5E0-6526A887A471}"/>
              </a:ext>
            </a:extLst>
          </xdr:cNvPr>
          <xdr:cNvCxnSpPr/>
        </xdr:nvCxnSpPr>
        <xdr:spPr>
          <a:xfrm flipV="1">
            <a:off x="1323975" y="2171700"/>
            <a:ext cx="144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2343150</xdr:colOff>
      <xdr:row>56</xdr:row>
      <xdr:rowOff>95250</xdr:rowOff>
    </xdr:from>
    <xdr:to>
      <xdr:col>1</xdr:col>
      <xdr:colOff>323850</xdr:colOff>
      <xdr:row>58</xdr:row>
      <xdr:rowOff>19050</xdr:rowOff>
    </xdr:to>
    <xdr:sp macro="" textlink="">
      <xdr:nvSpPr>
        <xdr:cNvPr id="7180" name="Text Box 12">
          <a:extLst>
            <a:ext uri="{FF2B5EF4-FFF2-40B4-BE49-F238E27FC236}">
              <a16:creationId xmlns:a16="http://schemas.microsoft.com/office/drawing/2014/main" id="{90EA12BE-0153-51FB-547B-5E611F69958F}"/>
            </a:ext>
          </a:extLst>
        </xdr:cNvPr>
        <xdr:cNvSpPr txBox="1">
          <a:spLocks noChangeArrowheads="1"/>
        </xdr:cNvSpPr>
      </xdr:nvSpPr>
      <xdr:spPr bwMode="auto">
        <a:xfrm>
          <a:off x="2343150" y="8486775"/>
          <a:ext cx="600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36000" bIns="0" anchor="t" upright="1"/>
        <a:lstStyle/>
        <a:p>
          <a:pPr algn="l" rtl="0">
            <a:defRPr sz="1000"/>
          </a:pPr>
          <a:r>
            <a:rPr lang="ja-JP" altLang="en-US" sz="900" b="0" i="0" u="none" strike="noStrike" baseline="0">
              <a:solidFill>
                <a:srgbClr val="FF0000"/>
              </a:solidFill>
              <a:latin typeface="ＭＳ 明朝"/>
              <a:ea typeface="ＭＳ 明朝"/>
            </a:rPr>
            <a:t>1～２名</a:t>
          </a:r>
        </a:p>
      </xdr:txBody>
    </xdr:sp>
    <xdr:clientData/>
  </xdr:twoCellAnchor>
  <xdr:twoCellAnchor>
    <xdr:from>
      <xdr:col>0</xdr:col>
      <xdr:colOff>390525</xdr:colOff>
      <xdr:row>60</xdr:row>
      <xdr:rowOff>76200</xdr:rowOff>
    </xdr:from>
    <xdr:to>
      <xdr:col>0</xdr:col>
      <xdr:colOff>1406525</xdr:colOff>
      <xdr:row>69</xdr:row>
      <xdr:rowOff>98425</xdr:rowOff>
    </xdr:to>
    <xdr:cxnSp macro="">
      <xdr:nvCxnSpPr>
        <xdr:cNvPr id="25" name="直線コネクタ 24">
          <a:extLst>
            <a:ext uri="{FF2B5EF4-FFF2-40B4-BE49-F238E27FC236}">
              <a16:creationId xmlns:a16="http://schemas.microsoft.com/office/drawing/2014/main" id="{C615E020-674F-F3F3-B8B8-70110E4FE435}"/>
            </a:ext>
          </a:extLst>
        </xdr:cNvPr>
        <xdr:cNvCxnSpPr/>
      </xdr:nvCxnSpPr>
      <xdr:spPr>
        <a:xfrm>
          <a:off x="390525" y="9039225"/>
          <a:ext cx="1016000" cy="130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333375</xdr:colOff>
      <xdr:row>60</xdr:row>
      <xdr:rowOff>85725</xdr:rowOff>
    </xdr:from>
    <xdr:to>
      <xdr:col>0</xdr:col>
      <xdr:colOff>1377950</xdr:colOff>
      <xdr:row>69</xdr:row>
      <xdr:rowOff>76200</xdr:rowOff>
    </xdr:to>
    <xdr:cxnSp macro="">
      <xdr:nvCxnSpPr>
        <xdr:cNvPr id="26" name="直線コネクタ 25">
          <a:extLst>
            <a:ext uri="{FF2B5EF4-FFF2-40B4-BE49-F238E27FC236}">
              <a16:creationId xmlns:a16="http://schemas.microsoft.com/office/drawing/2014/main" id="{73E08717-0B93-2906-9E65-F757FDA9DED2}"/>
            </a:ext>
          </a:extLst>
        </xdr:cNvPr>
        <xdr:cNvCxnSpPr/>
      </xdr:nvCxnSpPr>
      <xdr:spPr>
        <a:xfrm flipV="1">
          <a:off x="333375" y="9048750"/>
          <a:ext cx="1044575" cy="1276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58</xdr:row>
      <xdr:rowOff>123825</xdr:rowOff>
    </xdr:from>
    <xdr:to>
      <xdr:col>2</xdr:col>
      <xdr:colOff>323850</xdr:colOff>
      <xdr:row>61</xdr:row>
      <xdr:rowOff>95250</xdr:rowOff>
    </xdr:to>
    <xdr:cxnSp macro="">
      <xdr:nvCxnSpPr>
        <xdr:cNvPr id="28" name="直線矢印コネクタ 27">
          <a:extLst>
            <a:ext uri="{FF2B5EF4-FFF2-40B4-BE49-F238E27FC236}">
              <a16:creationId xmlns:a16="http://schemas.microsoft.com/office/drawing/2014/main" id="{EC4C4EDC-2332-6355-532B-21F9537274EC}"/>
            </a:ext>
          </a:extLst>
        </xdr:cNvPr>
        <xdr:cNvCxnSpPr/>
      </xdr:nvCxnSpPr>
      <xdr:spPr>
        <a:xfrm flipH="1" flipV="1">
          <a:off x="2886075" y="8801100"/>
          <a:ext cx="485775" cy="40005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2486025</xdr:colOff>
      <xdr:row>60</xdr:row>
      <xdr:rowOff>57150</xdr:rowOff>
    </xdr:from>
    <xdr:to>
      <xdr:col>1</xdr:col>
      <xdr:colOff>285750</xdr:colOff>
      <xdr:row>63</xdr:row>
      <xdr:rowOff>19050</xdr:rowOff>
    </xdr:to>
    <xdr:cxnSp macro="">
      <xdr:nvCxnSpPr>
        <xdr:cNvPr id="29" name="直線矢印コネクタ 28">
          <a:extLst>
            <a:ext uri="{FF2B5EF4-FFF2-40B4-BE49-F238E27FC236}">
              <a16:creationId xmlns:a16="http://schemas.microsoft.com/office/drawing/2014/main" id="{9A2EADFA-3550-D06A-FF63-AC284839B9E8}"/>
            </a:ext>
          </a:extLst>
        </xdr:cNvPr>
        <xdr:cNvCxnSpPr/>
      </xdr:nvCxnSpPr>
      <xdr:spPr>
        <a:xfrm>
          <a:off x="2486025" y="9020175"/>
          <a:ext cx="419100" cy="3905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2200275</xdr:colOff>
      <xdr:row>61</xdr:row>
      <xdr:rowOff>0</xdr:rowOff>
    </xdr:from>
    <xdr:to>
      <xdr:col>1</xdr:col>
      <xdr:colOff>0</xdr:colOff>
      <xdr:row>62</xdr:row>
      <xdr:rowOff>85725</xdr:rowOff>
    </xdr:to>
    <xdr:sp macro="" textlink="">
      <xdr:nvSpPr>
        <xdr:cNvPr id="7176" name="Text Box 8">
          <a:extLst>
            <a:ext uri="{FF2B5EF4-FFF2-40B4-BE49-F238E27FC236}">
              <a16:creationId xmlns:a16="http://schemas.microsoft.com/office/drawing/2014/main" id="{D479D6ED-7FF3-71EE-52A5-962EAC0D749F}"/>
            </a:ext>
          </a:extLst>
        </xdr:cNvPr>
        <xdr:cNvSpPr txBox="1">
          <a:spLocks noChangeArrowheads="1"/>
        </xdr:cNvSpPr>
      </xdr:nvSpPr>
      <xdr:spPr bwMode="auto">
        <a:xfrm>
          <a:off x="2200275" y="9105900"/>
          <a:ext cx="4191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36000" bIns="0" anchor="t" upright="1"/>
        <a:lstStyle/>
        <a:p>
          <a:pPr algn="l" rtl="0">
            <a:defRPr sz="1000"/>
          </a:pPr>
          <a:r>
            <a:rPr lang="ja-JP" altLang="en-US" sz="900" b="0" i="0" u="none" strike="noStrike" baseline="0">
              <a:solidFill>
                <a:srgbClr val="000000"/>
              </a:solidFill>
              <a:latin typeface="ＭＳ 明朝"/>
              <a:ea typeface="ＭＳ 明朝"/>
            </a:rPr>
            <a:t>①協定</a:t>
          </a:r>
        </a:p>
      </xdr:txBody>
    </xdr:sp>
    <xdr:clientData/>
  </xdr:twoCellAnchor>
  <xdr:twoCellAnchor>
    <xdr:from>
      <xdr:col>2</xdr:col>
      <xdr:colOff>28575</xdr:colOff>
      <xdr:row>59</xdr:row>
      <xdr:rowOff>38100</xdr:rowOff>
    </xdr:from>
    <xdr:to>
      <xdr:col>2</xdr:col>
      <xdr:colOff>923925</xdr:colOff>
      <xdr:row>60</xdr:row>
      <xdr:rowOff>66675</xdr:rowOff>
    </xdr:to>
    <xdr:sp macro="" textlink="">
      <xdr:nvSpPr>
        <xdr:cNvPr id="7175" name="Text Box 7">
          <a:extLst>
            <a:ext uri="{FF2B5EF4-FFF2-40B4-BE49-F238E27FC236}">
              <a16:creationId xmlns:a16="http://schemas.microsoft.com/office/drawing/2014/main" id="{37FEC1DE-7E6F-B93B-9267-CF50CA564E1F}"/>
            </a:ext>
          </a:extLst>
        </xdr:cNvPr>
        <xdr:cNvSpPr txBox="1">
          <a:spLocks noChangeArrowheads="1"/>
        </xdr:cNvSpPr>
      </xdr:nvSpPr>
      <xdr:spPr bwMode="auto">
        <a:xfrm>
          <a:off x="3076575" y="8858250"/>
          <a:ext cx="895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36000" bIns="0" anchor="t" upright="1"/>
        <a:lstStyle/>
        <a:p>
          <a:pPr algn="l" rtl="0">
            <a:defRPr sz="1000"/>
          </a:pPr>
          <a:r>
            <a:rPr lang="ja-JP" altLang="en-US" sz="900" b="0" i="0" u="none" strike="noStrike" baseline="0">
              <a:solidFill>
                <a:srgbClr val="000000"/>
              </a:solidFill>
              <a:latin typeface="ＭＳ 明朝"/>
              <a:ea typeface="ＭＳ 明朝"/>
            </a:rPr>
            <a:t>②処理方法提案</a:t>
          </a:r>
        </a:p>
      </xdr:txBody>
    </xdr:sp>
    <xdr:clientData/>
  </xdr:twoCellAnchor>
  <xdr:twoCellAnchor>
    <xdr:from>
      <xdr:col>1</xdr:col>
      <xdr:colOff>276225</xdr:colOff>
      <xdr:row>55</xdr:row>
      <xdr:rowOff>57150</xdr:rowOff>
    </xdr:from>
    <xdr:to>
      <xdr:col>2</xdr:col>
      <xdr:colOff>315600</xdr:colOff>
      <xdr:row>55</xdr:row>
      <xdr:rowOff>57150</xdr:rowOff>
    </xdr:to>
    <xdr:cxnSp macro="">
      <xdr:nvCxnSpPr>
        <xdr:cNvPr id="30" name="直線矢印コネクタ 29">
          <a:extLst>
            <a:ext uri="{FF2B5EF4-FFF2-40B4-BE49-F238E27FC236}">
              <a16:creationId xmlns:a16="http://schemas.microsoft.com/office/drawing/2014/main" id="{03912EC7-CF5E-F206-623D-A270DB8BE44D}"/>
            </a:ext>
          </a:extLst>
        </xdr:cNvPr>
        <xdr:cNvCxnSpPr/>
      </xdr:nvCxnSpPr>
      <xdr:spPr>
        <a:xfrm>
          <a:off x="2895600" y="8305800"/>
          <a:ext cx="468000" cy="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3409315</xdr:colOff>
      <xdr:row>70</xdr:row>
      <xdr:rowOff>95250</xdr:rowOff>
    </xdr:from>
    <xdr:to>
      <xdr:col>2</xdr:col>
      <xdr:colOff>4657090</xdr:colOff>
      <xdr:row>70</xdr:row>
      <xdr:rowOff>95250</xdr:rowOff>
    </xdr:to>
    <xdr:cxnSp macro="">
      <xdr:nvCxnSpPr>
        <xdr:cNvPr id="31" name="直線コネクタ 30">
          <a:extLst>
            <a:ext uri="{FF2B5EF4-FFF2-40B4-BE49-F238E27FC236}">
              <a16:creationId xmlns:a16="http://schemas.microsoft.com/office/drawing/2014/main" id="{EFBEBB64-9365-FBE1-0032-C88D0E5D171F}"/>
            </a:ext>
          </a:extLst>
        </xdr:cNvPr>
        <xdr:cNvCxnSpPr/>
      </xdr:nvCxnSpPr>
      <xdr:spPr>
        <a:xfrm flipH="1">
          <a:off x="3590290" y="1495425"/>
          <a:ext cx="1247775"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1847850</xdr:colOff>
      <xdr:row>54</xdr:row>
      <xdr:rowOff>142875</xdr:rowOff>
    </xdr:from>
    <xdr:to>
      <xdr:col>2</xdr:col>
      <xdr:colOff>133350</xdr:colOff>
      <xdr:row>56</xdr:row>
      <xdr:rowOff>0</xdr:rowOff>
    </xdr:to>
    <xdr:sp macro="" textlink="">
      <xdr:nvSpPr>
        <xdr:cNvPr id="7172" name="Text Box 4">
          <a:extLst>
            <a:ext uri="{FF2B5EF4-FFF2-40B4-BE49-F238E27FC236}">
              <a16:creationId xmlns:a16="http://schemas.microsoft.com/office/drawing/2014/main" id="{EEBF35FB-7EA1-0A6D-229F-0E1ADBF5260C}"/>
            </a:ext>
          </a:extLst>
        </xdr:cNvPr>
        <xdr:cNvSpPr txBox="1">
          <a:spLocks noChangeArrowheads="1"/>
        </xdr:cNvSpPr>
      </xdr:nvSpPr>
      <xdr:spPr bwMode="auto">
        <a:xfrm>
          <a:off x="1847850" y="8229600"/>
          <a:ext cx="1333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36000" bIns="0" anchor="t" upright="1"/>
        <a:lstStyle/>
        <a:p>
          <a:pPr algn="l" rtl="0">
            <a:defRPr sz="1000"/>
          </a:pPr>
          <a:r>
            <a:rPr lang="ja-JP" altLang="en-US" sz="900" b="0" i="0" u="none" strike="noStrike" baseline="0">
              <a:solidFill>
                <a:srgbClr val="000000"/>
              </a:solidFill>
              <a:latin typeface="ＭＳ 明朝"/>
              <a:ea typeface="ＭＳ 明朝"/>
            </a:rPr>
            <a:t>③決定行為・入札等</a:t>
          </a:r>
        </a:p>
      </xdr:txBody>
    </xdr:sp>
    <xdr:clientData/>
  </xdr:twoCellAnchor>
  <xdr:twoCellAnchor>
    <xdr:from>
      <xdr:col>0</xdr:col>
      <xdr:colOff>476249</xdr:colOff>
      <xdr:row>63</xdr:row>
      <xdr:rowOff>66675</xdr:rowOff>
    </xdr:from>
    <xdr:to>
      <xdr:col>0</xdr:col>
      <xdr:colOff>1362074</xdr:colOff>
      <xdr:row>66</xdr:row>
      <xdr:rowOff>85725</xdr:rowOff>
    </xdr:to>
    <xdr:sp macro="" textlink="">
      <xdr:nvSpPr>
        <xdr:cNvPr id="7169" name="吹き出し: 角を丸めた四角形 194">
          <a:extLst>
            <a:ext uri="{FF2B5EF4-FFF2-40B4-BE49-F238E27FC236}">
              <a16:creationId xmlns:a16="http://schemas.microsoft.com/office/drawing/2014/main" id="{4ECD3876-0525-A427-D1B4-4E7A7A44ADAF}"/>
            </a:ext>
          </a:extLst>
        </xdr:cNvPr>
        <xdr:cNvSpPr>
          <a:spLocks noChangeArrowheads="1"/>
        </xdr:cNvSpPr>
      </xdr:nvSpPr>
      <xdr:spPr bwMode="auto">
        <a:xfrm>
          <a:off x="476249" y="9172575"/>
          <a:ext cx="885825" cy="447675"/>
        </a:xfrm>
        <a:prstGeom prst="wedgeRoundRectCallout">
          <a:avLst>
            <a:gd name="adj1" fmla="val -2065"/>
            <a:gd name="adj2" fmla="val -54690"/>
            <a:gd name="adj3" fmla="val 16667"/>
          </a:avLst>
        </a:prstGeom>
        <a:solidFill>
          <a:srgbClr val="FFFFFF"/>
        </a:solidFill>
        <a:ln w="28575">
          <a:solidFill>
            <a:srgbClr val="FF0000"/>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必要な人数が集まらない場合</a:t>
          </a:r>
        </a:p>
      </xdr:txBody>
    </xdr:sp>
    <xdr:clientData/>
  </xdr:twoCellAnchor>
  <xdr:twoCellAnchor>
    <xdr:from>
      <xdr:col>2</xdr:col>
      <xdr:colOff>323849</xdr:colOff>
      <xdr:row>54</xdr:row>
      <xdr:rowOff>95250</xdr:rowOff>
    </xdr:from>
    <xdr:to>
      <xdr:col>2</xdr:col>
      <xdr:colOff>1943100</xdr:colOff>
      <xdr:row>56</xdr:row>
      <xdr:rowOff>66675</xdr:rowOff>
    </xdr:to>
    <xdr:sp macro="" textlink="">
      <xdr:nvSpPr>
        <xdr:cNvPr id="34" name="四角形: 角を丸くする 33">
          <a:extLst>
            <a:ext uri="{FF2B5EF4-FFF2-40B4-BE49-F238E27FC236}">
              <a16:creationId xmlns:a16="http://schemas.microsoft.com/office/drawing/2014/main" id="{66CE573E-20E2-4DDF-83DE-478712C069DE}"/>
            </a:ext>
          </a:extLst>
        </xdr:cNvPr>
        <xdr:cNvSpPr/>
      </xdr:nvSpPr>
      <xdr:spPr>
        <a:xfrm>
          <a:off x="3371849" y="8181975"/>
          <a:ext cx="1619251" cy="276225"/>
        </a:xfrm>
        <a:prstGeom prst="round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900">
              <a:solidFill>
                <a:sysClr val="windowText" lastClr="000000"/>
              </a:solidFill>
              <a:latin typeface="ＭＳ 明朝" panose="02020609040205080304" pitchFamily="17" charset="-128"/>
              <a:ea typeface="ＭＳ 明朝" panose="02020609040205080304" pitchFamily="17" charset="-128"/>
            </a:rPr>
            <a:t>民間事業者による処理実施</a:t>
          </a:r>
        </a:p>
      </xdr:txBody>
    </xdr:sp>
    <xdr:clientData/>
  </xdr:twoCellAnchor>
  <xdr:twoCellAnchor>
    <xdr:from>
      <xdr:col>2</xdr:col>
      <xdr:colOff>228600</xdr:colOff>
      <xdr:row>60</xdr:row>
      <xdr:rowOff>19050</xdr:rowOff>
    </xdr:from>
    <xdr:to>
      <xdr:col>2</xdr:col>
      <xdr:colOff>1847851</xdr:colOff>
      <xdr:row>62</xdr:row>
      <xdr:rowOff>9525</xdr:rowOff>
    </xdr:to>
    <xdr:sp macro="" textlink="">
      <xdr:nvSpPr>
        <xdr:cNvPr id="35" name="四角形: 角を丸くする 34">
          <a:extLst>
            <a:ext uri="{FF2B5EF4-FFF2-40B4-BE49-F238E27FC236}">
              <a16:creationId xmlns:a16="http://schemas.microsoft.com/office/drawing/2014/main" id="{8DE38B13-4938-4456-80E7-32B9E7D1AE7B}"/>
            </a:ext>
          </a:extLst>
        </xdr:cNvPr>
        <xdr:cNvSpPr/>
      </xdr:nvSpPr>
      <xdr:spPr>
        <a:xfrm>
          <a:off x="3276600" y="8696325"/>
          <a:ext cx="1619251" cy="276225"/>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900">
              <a:solidFill>
                <a:sysClr val="windowText" lastClr="000000"/>
              </a:solidFill>
              <a:latin typeface="ＭＳ 明朝" panose="02020609040205080304" pitchFamily="17" charset="-128"/>
              <a:ea typeface="ＭＳ 明朝" panose="02020609040205080304" pitchFamily="17" charset="-128"/>
            </a:rPr>
            <a:t>民間事業者グループ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2</xdr:col>
      <xdr:colOff>317500</xdr:colOff>
      <xdr:row>19</xdr:row>
      <xdr:rowOff>130175</xdr:rowOff>
    </xdr:to>
    <xdr:grpSp>
      <xdr:nvGrpSpPr>
        <xdr:cNvPr id="2" name="グループ化 1">
          <a:extLst>
            <a:ext uri="{FF2B5EF4-FFF2-40B4-BE49-F238E27FC236}">
              <a16:creationId xmlns:a16="http://schemas.microsoft.com/office/drawing/2014/main" id="{3C3C9CB3-20BA-49D6-8701-FFFFB6AA9BCE}"/>
            </a:ext>
          </a:extLst>
        </xdr:cNvPr>
        <xdr:cNvGrpSpPr/>
      </xdr:nvGrpSpPr>
      <xdr:grpSpPr>
        <a:xfrm>
          <a:off x="0" y="2400300"/>
          <a:ext cx="2717800" cy="2797175"/>
          <a:chOff x="0" y="0"/>
          <a:chExt cx="2717800" cy="2720975"/>
        </a:xfrm>
      </xdr:grpSpPr>
      <xdr:grpSp>
        <xdr:nvGrpSpPr>
          <xdr:cNvPr id="3" name="グループ化 2">
            <a:extLst>
              <a:ext uri="{FF2B5EF4-FFF2-40B4-BE49-F238E27FC236}">
                <a16:creationId xmlns:a16="http://schemas.microsoft.com/office/drawing/2014/main" id="{30658F4B-3CF4-1A98-3798-6B1336D20791}"/>
              </a:ext>
            </a:extLst>
          </xdr:cNvPr>
          <xdr:cNvGrpSpPr>
            <a:grpSpLocks/>
          </xdr:cNvGrpSpPr>
        </xdr:nvGrpSpPr>
        <xdr:grpSpPr>
          <a:xfrm>
            <a:off x="0" y="0"/>
            <a:ext cx="2717800" cy="2595880"/>
            <a:chOff x="0" y="0"/>
            <a:chExt cx="2717800" cy="2595950"/>
          </a:xfrm>
        </xdr:grpSpPr>
        <xdr:sp macro="" textlink="">
          <xdr:nvSpPr>
            <xdr:cNvPr id="7" name="テキスト ボックス 1">
              <a:extLst>
                <a:ext uri="{FF2B5EF4-FFF2-40B4-BE49-F238E27FC236}">
                  <a16:creationId xmlns:a16="http://schemas.microsoft.com/office/drawing/2014/main" id="{90805A93-D199-E11C-A1FD-A1F12A0AE6CC}"/>
                </a:ext>
              </a:extLst>
            </xdr:cNvPr>
            <xdr:cNvSpPr txBox="1"/>
          </xdr:nvSpPr>
          <xdr:spPr>
            <a:xfrm>
              <a:off x="1231900" y="0"/>
              <a:ext cx="9334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決定権者</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8" name="テキスト ボックス 1">
              <a:extLst>
                <a:ext uri="{FF2B5EF4-FFF2-40B4-BE49-F238E27FC236}">
                  <a16:creationId xmlns:a16="http://schemas.microsoft.com/office/drawing/2014/main" id="{C345A26D-0702-A154-554F-35FBD595C2DA}"/>
                </a:ext>
              </a:extLst>
            </xdr:cNvPr>
            <xdr:cNvSpPr txBox="1"/>
          </xdr:nvSpPr>
          <xdr:spPr>
            <a:xfrm>
              <a:off x="122555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企画調整ｸﾞﾙｰﾌﾟ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9" name="テキスト ボックス 1">
              <a:extLst>
                <a:ext uri="{FF2B5EF4-FFF2-40B4-BE49-F238E27FC236}">
                  <a16:creationId xmlns:a16="http://schemas.microsoft.com/office/drawing/2014/main" id="{28D285C7-4710-26B1-2ECB-E823D539A210}"/>
                </a:ext>
              </a:extLst>
            </xdr:cNvPr>
            <xdr:cNvSpPr txBox="1"/>
          </xdr:nvSpPr>
          <xdr:spPr>
            <a:xfrm>
              <a:off x="1631950" y="850900"/>
              <a:ext cx="1085850"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情報収集ｸﾞﾙｰﾌﾟ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0" name="テキスト ボックス 1">
              <a:extLst>
                <a:ext uri="{FF2B5EF4-FFF2-40B4-BE49-F238E27FC236}">
                  <a16:creationId xmlns:a16="http://schemas.microsoft.com/office/drawing/2014/main" id="{0B1C251D-B9A9-2D0F-1E3E-67A55383DD8A}"/>
                </a:ext>
              </a:extLst>
            </xdr:cNvPr>
            <xdr:cNvSpPr txBox="1"/>
          </xdr:nvSpPr>
          <xdr:spPr>
            <a:xfrm>
              <a:off x="1651000" y="12255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ja-JP" sz="900">
                  <a:solidFill>
                    <a:sysClr val="windowText" lastClr="000000"/>
                  </a:solidFill>
                  <a:effectLst/>
                  <a:latin typeface="ＭＳ ゴシック" panose="020B0609070205080204" pitchFamily="49" charset="-128"/>
                  <a:ea typeface="ＭＳ 明朝" panose="02020609040205080304" pitchFamily="17" charset="-128"/>
                  <a:cs typeface="ＭＳ ゴシック" panose="020B0609070205080204" pitchFamily="49" charset="-128"/>
                </a:rPr>
                <a:t>生活系ごみｸﾞﾙｰﾌﾟ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1" name="テキスト ボックス 1">
              <a:extLst>
                <a:ext uri="{FF2B5EF4-FFF2-40B4-BE49-F238E27FC236}">
                  <a16:creationId xmlns:a16="http://schemas.microsoft.com/office/drawing/2014/main" id="{9C0F9763-3E95-2093-D855-568A7B93294F}"/>
                </a:ext>
              </a:extLst>
            </xdr:cNvPr>
            <xdr:cNvSpPr txBox="1"/>
          </xdr:nvSpPr>
          <xdr:spPr>
            <a:xfrm>
              <a:off x="1644650" y="15557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災害廃棄物ｸﾞﾙｰﾌﾟ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2" name="テキスト ボックス 1">
              <a:extLst>
                <a:ext uri="{FF2B5EF4-FFF2-40B4-BE49-F238E27FC236}">
                  <a16:creationId xmlns:a16="http://schemas.microsoft.com/office/drawing/2014/main" id="{15C6C642-FBCC-DE2A-FCE4-B1244F28766A}"/>
                </a:ext>
              </a:extLst>
            </xdr:cNvPr>
            <xdr:cNvSpPr txBox="1"/>
          </xdr:nvSpPr>
          <xdr:spPr>
            <a:xfrm>
              <a:off x="1631950" y="187325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仮置場ｸﾞﾙｰﾌﾟ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3" name="テキスト ボックス 1">
              <a:extLst>
                <a:ext uri="{FF2B5EF4-FFF2-40B4-BE49-F238E27FC236}">
                  <a16:creationId xmlns:a16="http://schemas.microsoft.com/office/drawing/2014/main" id="{72810A25-3F8E-D758-E8FE-999A2961A59F}"/>
                </a:ext>
              </a:extLst>
            </xdr:cNvPr>
            <xdr:cNvSpPr txBox="1"/>
          </xdr:nvSpPr>
          <xdr:spPr>
            <a:xfrm>
              <a:off x="1619250" y="219710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契約ｸﾞﾙｰﾌﾟ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sp macro="" textlink="">
          <xdr:nvSpPr>
            <xdr:cNvPr id="14" name="テキスト ボックス 1">
              <a:extLst>
                <a:ext uri="{FF2B5EF4-FFF2-40B4-BE49-F238E27FC236}">
                  <a16:creationId xmlns:a16="http://schemas.microsoft.com/office/drawing/2014/main" id="{2D3CE912-A329-282A-B137-A33B78C294FA}"/>
                </a:ext>
              </a:extLst>
            </xdr:cNvPr>
            <xdr:cNvSpPr txBox="1"/>
          </xdr:nvSpPr>
          <xdr:spPr>
            <a:xfrm>
              <a:off x="0" y="400050"/>
              <a:ext cx="9652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災害対策本部</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cxnSp macro="">
          <xdr:nvCxnSpPr>
            <xdr:cNvPr id="15" name="直線矢印コネクタ 14">
              <a:extLst>
                <a:ext uri="{FF2B5EF4-FFF2-40B4-BE49-F238E27FC236}">
                  <a16:creationId xmlns:a16="http://schemas.microsoft.com/office/drawing/2014/main" id="{D992DA62-4A84-73C5-D507-B317CB910BAD}"/>
                </a:ext>
              </a:extLst>
            </xdr:cNvPr>
            <xdr:cNvCxnSpPr/>
          </xdr:nvCxnSpPr>
          <xdr:spPr>
            <a:xfrm>
              <a:off x="1676400" y="209550"/>
              <a:ext cx="0" cy="216000"/>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ED022911-3159-73D6-D587-5E5682EC550C}"/>
                </a:ext>
              </a:extLst>
            </xdr:cNvPr>
            <xdr:cNvCxnSpPr/>
          </xdr:nvCxnSpPr>
          <xdr:spPr>
            <a:xfrm flipH="1" flipV="1">
              <a:off x="971550" y="508000"/>
              <a:ext cx="241300" cy="0"/>
            </a:xfrm>
            <a:prstGeom prst="straightConnector1">
              <a:avLst/>
            </a:prstGeom>
            <a:ln>
              <a:solidFill>
                <a:schemeClr val="bg2">
                  <a:lumMod val="2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C71A0822-D4C6-C232-849D-D64BA39C5180}"/>
                </a:ext>
              </a:extLst>
            </xdr:cNvPr>
            <xdr:cNvCxnSpPr/>
          </xdr:nvCxnSpPr>
          <xdr:spPr>
            <a:xfrm>
              <a:off x="1473200" y="615950"/>
              <a:ext cx="0" cy="198000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10CB727F-C94C-AD70-ADDE-67A61A31FCDC}"/>
                </a:ext>
              </a:extLst>
            </xdr:cNvPr>
            <xdr:cNvCxnSpPr/>
          </xdr:nvCxnSpPr>
          <xdr:spPr>
            <a:xfrm flipH="1">
              <a:off x="1479550" y="952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BA5FB784-926D-35A5-8D4C-12FDC7B5CFDA}"/>
                </a:ext>
              </a:extLst>
            </xdr:cNvPr>
            <xdr:cNvCxnSpPr/>
          </xdr:nvCxnSpPr>
          <xdr:spPr>
            <a:xfrm flipH="1">
              <a:off x="1473200" y="1333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4CBD8E79-1F52-D19E-9EFB-21AE80B282A5}"/>
                </a:ext>
              </a:extLst>
            </xdr:cNvPr>
            <xdr:cNvCxnSpPr/>
          </xdr:nvCxnSpPr>
          <xdr:spPr>
            <a:xfrm flipH="1">
              <a:off x="1466850" y="168275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F4B765C5-ED5C-1503-BBB7-95C95985D621}"/>
                </a:ext>
              </a:extLst>
            </xdr:cNvPr>
            <xdr:cNvCxnSpPr/>
          </xdr:nvCxnSpPr>
          <xdr:spPr>
            <a:xfrm flipH="1">
              <a:off x="1485900" y="196850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3249D2F-EADF-7671-C866-FDD1665813CE}"/>
                </a:ext>
              </a:extLst>
            </xdr:cNvPr>
            <xdr:cNvCxnSpPr/>
          </xdr:nvCxnSpPr>
          <xdr:spPr>
            <a:xfrm flipH="1">
              <a:off x="1466850" y="2292350"/>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grpSp>
      <xdr:grpSp>
        <xdr:nvGrpSpPr>
          <xdr:cNvPr id="4" name="グループ化 3">
            <a:extLst>
              <a:ext uri="{FF2B5EF4-FFF2-40B4-BE49-F238E27FC236}">
                <a16:creationId xmlns:a16="http://schemas.microsoft.com/office/drawing/2014/main" id="{B3A9B3E7-E0F2-53E2-2D4C-B8FE32EC95D9}"/>
              </a:ext>
            </a:extLst>
          </xdr:cNvPr>
          <xdr:cNvGrpSpPr/>
        </xdr:nvGrpSpPr>
        <xdr:grpSpPr>
          <a:xfrm>
            <a:off x="1476375" y="2505075"/>
            <a:ext cx="1190625" cy="215900"/>
            <a:chOff x="0" y="0"/>
            <a:chExt cx="1190625" cy="215900"/>
          </a:xfrm>
        </xdr:grpSpPr>
        <xdr:cxnSp macro="">
          <xdr:nvCxnSpPr>
            <xdr:cNvPr id="5" name="直線矢印コネクタ 4">
              <a:extLst>
                <a:ext uri="{FF2B5EF4-FFF2-40B4-BE49-F238E27FC236}">
                  <a16:creationId xmlns:a16="http://schemas.microsoft.com/office/drawing/2014/main" id="{1E805A9C-0847-4771-95C4-A11D57DC24E9}"/>
                </a:ext>
              </a:extLst>
            </xdr:cNvPr>
            <xdr:cNvCxnSpPr>
              <a:cxnSpLocks/>
            </xdr:cNvCxnSpPr>
          </xdr:nvCxnSpPr>
          <xdr:spPr>
            <a:xfrm flipH="1">
              <a:off x="0" y="85725"/>
              <a:ext cx="127000" cy="0"/>
            </a:xfrm>
            <a:prstGeom prst="straightConnector1">
              <a:avLst/>
            </a:prstGeom>
            <a:ln>
              <a:solidFill>
                <a:schemeClr val="bg2">
                  <a:lumMod val="2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22">
              <a:extLst>
                <a:ext uri="{FF2B5EF4-FFF2-40B4-BE49-F238E27FC236}">
                  <a16:creationId xmlns:a16="http://schemas.microsoft.com/office/drawing/2014/main" id="{ABA3226B-5B1C-65E7-065F-8EAD59729508}"/>
                </a:ext>
              </a:extLst>
            </xdr:cNvPr>
            <xdr:cNvSpPr txBox="1">
              <a:spLocks/>
            </xdr:cNvSpPr>
          </xdr:nvSpPr>
          <xdr:spPr>
            <a:xfrm>
              <a:off x="142875" y="0"/>
              <a:ext cx="10477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36000" tIns="0" rIns="36000" bIns="0" rtlCol="0" anchor="ctr">
              <a:noAutofit/>
            </a:bodyPr>
            <a:lstStyle/>
            <a:p>
              <a:pPr algn="ctr"/>
              <a:r>
                <a:rPr lang="en-US" sz="900">
                  <a:solidFill>
                    <a:sysClr val="windowText" lastClr="000000"/>
                  </a:solidFill>
                  <a:effectLst/>
                  <a:latin typeface="ＭＳ 明朝" panose="02020609040205080304" pitchFamily="17" charset="-128"/>
                  <a:ea typeface="ＭＳ ゴシック" panose="020B0609070205080204" pitchFamily="49" charset="-128"/>
                  <a:cs typeface="ＭＳ ゴシック" panose="020B0609070205080204" pitchFamily="49" charset="-128"/>
                </a:rPr>
                <a:t>公費解体ｸﾞﾙｰﾌﾟ</a:t>
              </a:r>
              <a:endParaRPr lang="ja-JP" sz="1100">
                <a:solidFill>
                  <a:sysClr val="windowText" lastClr="000000"/>
                </a:solidFill>
                <a:effectLst/>
                <a:latin typeface="ＭＳ ゴシック" panose="020B0609070205080204" pitchFamily="49" charset="-128"/>
                <a:ea typeface="ＭＳ ゴシック" panose="020B0609070205080204" pitchFamily="49" charset="-128"/>
                <a:cs typeface="ＭＳ ゴシック" panose="020B0609070205080204" pitchFamily="49" charset="-128"/>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308161</xdr:colOff>
      <xdr:row>1</xdr:row>
      <xdr:rowOff>89648</xdr:rowOff>
    </xdr:from>
    <xdr:to>
      <xdr:col>17</xdr:col>
      <xdr:colOff>330574</xdr:colOff>
      <xdr:row>4</xdr:row>
      <xdr:rowOff>89647</xdr:rowOff>
    </xdr:to>
    <xdr:sp macro="" textlink="">
      <xdr:nvSpPr>
        <xdr:cNvPr id="2" name="正方形/長方形 1">
          <a:extLst>
            <a:ext uri="{FF2B5EF4-FFF2-40B4-BE49-F238E27FC236}">
              <a16:creationId xmlns:a16="http://schemas.microsoft.com/office/drawing/2014/main" id="{1326DFF9-08A0-AA42-4D1E-F69AADF5D059}"/>
            </a:ext>
          </a:extLst>
        </xdr:cNvPr>
        <xdr:cNvSpPr/>
      </xdr:nvSpPr>
      <xdr:spPr>
        <a:xfrm>
          <a:off x="10494308" y="246530"/>
          <a:ext cx="2173942" cy="526676"/>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黄色で塗りつぶしている欄は、発災直後に把握いただきたい。</a:t>
          </a:r>
        </a:p>
      </xdr:txBody>
    </xdr:sp>
    <xdr:clientData/>
  </xdr:twoCellAnchor>
  <xdr:twoCellAnchor>
    <xdr:from>
      <xdr:col>14</xdr:col>
      <xdr:colOff>308161</xdr:colOff>
      <xdr:row>5</xdr:row>
      <xdr:rowOff>2</xdr:rowOff>
    </xdr:from>
    <xdr:to>
      <xdr:col>17</xdr:col>
      <xdr:colOff>330574</xdr:colOff>
      <xdr:row>9</xdr:row>
      <xdr:rowOff>22413</xdr:rowOff>
    </xdr:to>
    <xdr:sp macro="" textlink="">
      <xdr:nvSpPr>
        <xdr:cNvPr id="3" name="正方形/長方形 2">
          <a:extLst>
            <a:ext uri="{FF2B5EF4-FFF2-40B4-BE49-F238E27FC236}">
              <a16:creationId xmlns:a16="http://schemas.microsoft.com/office/drawing/2014/main" id="{333ABC25-A693-5CD4-A184-A6434573021D}"/>
            </a:ext>
          </a:extLst>
        </xdr:cNvPr>
        <xdr:cNvSpPr/>
      </xdr:nvSpPr>
      <xdr:spPr>
        <a:xfrm>
          <a:off x="10494308" y="840443"/>
          <a:ext cx="2173942" cy="70597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緑色で塗りつぶしている欄は、発災直後には必ずしも必要ないものの、把握できた情報を随時更新いただきたい。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876300</xdr:colOff>
      <xdr:row>2</xdr:row>
      <xdr:rowOff>47625</xdr:rowOff>
    </xdr:from>
    <xdr:to>
      <xdr:col>4</xdr:col>
      <xdr:colOff>76200</xdr:colOff>
      <xdr:row>2</xdr:row>
      <xdr:rowOff>171450</xdr:rowOff>
    </xdr:to>
    <xdr:sp macro="" textlink="">
      <xdr:nvSpPr>
        <xdr:cNvPr id="2" name="矢印: 右 1">
          <a:extLst>
            <a:ext uri="{FF2B5EF4-FFF2-40B4-BE49-F238E27FC236}">
              <a16:creationId xmlns:a16="http://schemas.microsoft.com/office/drawing/2014/main" id="{D4BC3AF5-F92E-A848-4C84-798E35A1FAEB}"/>
            </a:ext>
          </a:extLst>
        </xdr:cNvPr>
        <xdr:cNvSpPr/>
      </xdr:nvSpPr>
      <xdr:spPr>
        <a:xfrm>
          <a:off x="3190875" y="742950"/>
          <a:ext cx="1619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809625</xdr:colOff>
      <xdr:row>1</xdr:row>
      <xdr:rowOff>161925</xdr:rowOff>
    </xdr:from>
    <xdr:to>
      <xdr:col>4</xdr:col>
      <xdr:colOff>9525</xdr:colOff>
      <xdr:row>1</xdr:row>
      <xdr:rowOff>285750</xdr:rowOff>
    </xdr:to>
    <xdr:sp macro="" textlink="">
      <xdr:nvSpPr>
        <xdr:cNvPr id="3" name="矢印: 右 2">
          <a:extLst>
            <a:ext uri="{FF2B5EF4-FFF2-40B4-BE49-F238E27FC236}">
              <a16:creationId xmlns:a16="http://schemas.microsoft.com/office/drawing/2014/main" id="{40AB18C4-EC5D-48F0-AF84-B278735276D0}"/>
            </a:ext>
          </a:extLst>
        </xdr:cNvPr>
        <xdr:cNvSpPr/>
      </xdr:nvSpPr>
      <xdr:spPr>
        <a:xfrm rot="10800000">
          <a:off x="3124200" y="400050"/>
          <a:ext cx="1619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3095625</xdr:colOff>
      <xdr:row>1</xdr:row>
      <xdr:rowOff>238125</xdr:rowOff>
    </xdr:from>
    <xdr:to>
      <xdr:col>6</xdr:col>
      <xdr:colOff>28575</xdr:colOff>
      <xdr:row>1</xdr:row>
      <xdr:rowOff>238125</xdr:rowOff>
    </xdr:to>
    <xdr:cxnSp macro="">
      <xdr:nvCxnSpPr>
        <xdr:cNvPr id="5" name="直線矢印コネクタ 4">
          <a:extLst>
            <a:ext uri="{FF2B5EF4-FFF2-40B4-BE49-F238E27FC236}">
              <a16:creationId xmlns:a16="http://schemas.microsoft.com/office/drawing/2014/main" id="{DA7D8788-C6D4-94A9-6229-2B850E4B7A33}"/>
            </a:ext>
          </a:extLst>
        </xdr:cNvPr>
        <xdr:cNvCxnSpPr/>
      </xdr:nvCxnSpPr>
      <xdr:spPr>
        <a:xfrm>
          <a:off x="7467600" y="714375"/>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3238500</xdr:colOff>
      <xdr:row>2</xdr:row>
      <xdr:rowOff>123825</xdr:rowOff>
    </xdr:from>
    <xdr:to>
      <xdr:col>6</xdr:col>
      <xdr:colOff>47625</xdr:colOff>
      <xdr:row>2</xdr:row>
      <xdr:rowOff>133350</xdr:rowOff>
    </xdr:to>
    <xdr:cxnSp macro="">
      <xdr:nvCxnSpPr>
        <xdr:cNvPr id="7" name="直線矢印コネクタ 6">
          <a:extLst>
            <a:ext uri="{FF2B5EF4-FFF2-40B4-BE49-F238E27FC236}">
              <a16:creationId xmlns:a16="http://schemas.microsoft.com/office/drawing/2014/main" id="{4DD0B2FB-4044-02C7-9E1D-23008CF4A1AD}"/>
            </a:ext>
          </a:extLst>
        </xdr:cNvPr>
        <xdr:cNvCxnSpPr/>
      </xdr:nvCxnSpPr>
      <xdr:spPr>
        <a:xfrm flipV="1">
          <a:off x="7610475" y="1057275"/>
          <a:ext cx="3810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109904</xdr:colOff>
      <xdr:row>92</xdr:row>
      <xdr:rowOff>36635</xdr:rowOff>
    </xdr:from>
    <xdr:to>
      <xdr:col>5</xdr:col>
      <xdr:colOff>232019</xdr:colOff>
      <xdr:row>94</xdr:row>
      <xdr:rowOff>0</xdr:rowOff>
    </xdr:to>
    <xdr:sp macro="" textlink="">
      <xdr:nvSpPr>
        <xdr:cNvPr id="4" name="右中かっこ 3">
          <a:extLst>
            <a:ext uri="{FF2B5EF4-FFF2-40B4-BE49-F238E27FC236}">
              <a16:creationId xmlns:a16="http://schemas.microsoft.com/office/drawing/2014/main" id="{5F5FB755-2DA0-4FCC-B77B-E179CB3D516A}"/>
            </a:ext>
          </a:extLst>
        </xdr:cNvPr>
        <xdr:cNvSpPr/>
      </xdr:nvSpPr>
      <xdr:spPr>
        <a:xfrm>
          <a:off x="4405679" y="5742110"/>
          <a:ext cx="122115" cy="3443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320431</xdr:colOff>
      <xdr:row>92</xdr:row>
      <xdr:rowOff>2685</xdr:rowOff>
    </xdr:from>
    <xdr:to>
      <xdr:col>6</xdr:col>
      <xdr:colOff>590550</xdr:colOff>
      <xdr:row>94</xdr:row>
      <xdr:rowOff>47624</xdr:rowOff>
    </xdr:to>
    <xdr:sp macro="" textlink="">
      <xdr:nvSpPr>
        <xdr:cNvPr id="7" name="テキスト ボックス 6">
          <a:extLst>
            <a:ext uri="{FF2B5EF4-FFF2-40B4-BE49-F238E27FC236}">
              <a16:creationId xmlns:a16="http://schemas.microsoft.com/office/drawing/2014/main" id="{5F3F7117-549C-446D-A6CC-275C322C1F86}"/>
            </a:ext>
          </a:extLst>
        </xdr:cNvPr>
        <xdr:cNvSpPr txBox="1"/>
      </xdr:nvSpPr>
      <xdr:spPr>
        <a:xfrm>
          <a:off x="4787656" y="13594860"/>
          <a:ext cx="1317869" cy="3306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900">
              <a:latin typeface="HGSｺﾞｼｯｸM" panose="020B0600000000000000" pitchFamily="50" charset="-128"/>
              <a:ea typeface="HGSｺﾞｼｯｸM" panose="020B0600000000000000" pitchFamily="50" charset="-128"/>
            </a:rPr>
            <a:t>発災時は実態に合わせて比率を調整</a:t>
          </a:r>
        </a:p>
      </xdr:txBody>
    </xdr:sp>
    <xdr:clientData/>
  </xdr:twoCellAnchor>
</xdr:wsDr>
</file>

<file path=xl/persons/person.xml><?xml version="1.0" encoding="utf-8"?>
<personList xmlns="http://schemas.microsoft.com/office/spreadsheetml/2018/threadedcomments" xmlns:x="http://schemas.openxmlformats.org/spreadsheetml/2006/main">
  <person displayName="適正課 岡田" id="{0E8EBBB9-C4F3-4D4B-B21A-D9160B778FA2}" userId="適正課 岡田"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2-06-20T05:38:29.20" personId="{0E8EBBB9-C4F3-4D4B-B21A-D9160B778FA2}" id="{918D2FB0-6768-429B-8593-B2F0965B3F72}">
    <text>処理能力は、実態調査や公表資料でも適宜把握可能であり、発災直後に必須の情報ではないのではないか？との観点で、規模の欄を削除</text>
  </threadedComment>
  <threadedComment ref="F37" dT="2022-06-20T09:39:07.31" personId="{0E8EBBB9-C4F3-4D4B-B21A-D9160B778FA2}" id="{75F05802-B666-4A43-B228-F4AF85D02DA6}">
    <text>「最大容量」や「現保管量」について算出するところで負担になるという複数事務所ご指摘と、必要なのは「ひっ迫状況」であることを踏まえ修正</text>
  </threadedComment>
  <threadedComment ref="G38" dT="2022-06-20T10:01:39.66" personId="{0E8EBBB9-C4F3-4D4B-B21A-D9160B778FA2}" id="{E015A55E-A871-46E3-83D0-1A55C5249316}">
    <text>詳細な分別ごとの情報まで把握することは負担が大きいとの事務所ご指摘と、令和２年豪雨の際に聞いていた内容を踏まえ、腐敗物に限って尋ねる形に変更</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https://www.soumu.go.jp/main_sosiki/jichi_gyousei/daityo/jinkou_jinkoudoutai-setaisuu.html" TargetMode="External" Type="http://schemas.openxmlformats.org/officeDocument/2006/relationships/hyperlink"/><Relationship Id="rId2" Target="https://www.e-stat.go.jp/stat-search/files?page=1&amp;toukei=00200522" TargetMode="External" Type="http://schemas.openxmlformats.org/officeDocument/2006/relationships/hyperlink"/><Relationship Id="rId3" Target="../printerSettings/printerSettings6.bin" Type="http://schemas.openxmlformats.org/officeDocument/2006/relationships/printerSettings"/><Relationship Id="rId4" Target="../drawings/drawing4.xml" Type="http://schemas.openxmlformats.org/officeDocument/2006/relationships/drawing"/><Relationship Id="rId5" Target="../drawings/vmlDrawing1.vml" Type="http://schemas.openxmlformats.org/officeDocument/2006/relationships/vmlDrawing"/><Relationship Id="rId6" Target="../comments1.xml" Type="http://schemas.openxmlformats.org/officeDocument/2006/relationships/comments"/><Relationship Id="rId7" Target="../threadedComments/threadedComment1.xml" Type="http://schemas.microsoft.com/office/2017/10/relationships/threadedComment"/></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805-F797-4359-AF28-1A6ACECE5E11}">
  <dimension ref="A1:H29"/>
  <sheetViews>
    <sheetView topLeftCell="A15" workbookViewId="0">
      <selection activeCell="G18" sqref="G18"/>
    </sheetView>
  </sheetViews>
  <sheetFormatPr defaultRowHeight="18.75"/>
  <cols>
    <col min="7" max="7" width="21.5" customWidth="1"/>
    <col min="8" max="8" width="60.75" bestFit="1" customWidth="1"/>
  </cols>
  <sheetData>
    <row r="1" spans="1:8">
      <c r="A1" t="s">
        <v>453</v>
      </c>
    </row>
    <row r="2" spans="1:8">
      <c r="A2" t="s">
        <v>457</v>
      </c>
    </row>
    <row r="3" spans="1:8">
      <c r="A3" t="s">
        <v>458</v>
      </c>
    </row>
    <row r="4" spans="1:8">
      <c r="A4" t="s">
        <v>456</v>
      </c>
    </row>
    <row r="6" spans="1:8" ht="19.5" thickBot="1">
      <c r="B6" s="165"/>
    </row>
    <row r="7" spans="1:8" ht="19.5" thickBot="1">
      <c r="B7" s="166"/>
      <c r="G7" s="168" t="s">
        <v>459</v>
      </c>
      <c r="H7" s="169" t="s">
        <v>460</v>
      </c>
    </row>
    <row r="8" spans="1:8" ht="19.5" thickBot="1">
      <c r="B8" s="166"/>
      <c r="G8" s="170" t="s">
        <v>461</v>
      </c>
      <c r="H8" s="171" t="s">
        <v>462</v>
      </c>
    </row>
    <row r="9" spans="1:8" ht="19.5" thickBot="1">
      <c r="B9" s="166"/>
      <c r="G9" s="170" t="s">
        <v>463</v>
      </c>
      <c r="H9" s="171" t="s">
        <v>464</v>
      </c>
    </row>
    <row r="10" spans="1:8" ht="19.5" thickBot="1">
      <c r="B10" s="166"/>
      <c r="G10" s="170" t="s">
        <v>465</v>
      </c>
      <c r="H10" s="171" t="s">
        <v>466</v>
      </c>
    </row>
    <row r="11" spans="1:8" ht="19.5" thickBot="1">
      <c r="B11" s="166"/>
      <c r="G11" s="170" t="s">
        <v>467</v>
      </c>
      <c r="H11" s="171" t="s">
        <v>468</v>
      </c>
    </row>
    <row r="12" spans="1:8" ht="19.5" thickBot="1">
      <c r="B12" s="166"/>
      <c r="G12" s="170" t="s">
        <v>469</v>
      </c>
      <c r="H12" s="171" t="s">
        <v>470</v>
      </c>
    </row>
    <row r="13" spans="1:8" ht="19.5" thickBot="1">
      <c r="B13" s="166"/>
      <c r="G13" s="170" t="s">
        <v>471</v>
      </c>
      <c r="H13" s="171" t="s">
        <v>472</v>
      </c>
    </row>
    <row r="14" spans="1:8" ht="19.5" thickBot="1">
      <c r="B14" s="166"/>
      <c r="G14" s="261" t="s">
        <v>473</v>
      </c>
      <c r="H14" s="262" t="s">
        <v>474</v>
      </c>
    </row>
    <row r="15" spans="1:8">
      <c r="B15" s="166"/>
    </row>
    <row r="16" spans="1:8">
      <c r="B16" s="167"/>
    </row>
    <row r="18" spans="2:7">
      <c r="B18" s="167"/>
      <c r="G18" s="263" t="s">
        <v>667</v>
      </c>
    </row>
    <row r="19" spans="2:7">
      <c r="B19" s="167"/>
    </row>
    <row r="20" spans="2:7">
      <c r="B20" s="167"/>
    </row>
    <row r="21" spans="2:7">
      <c r="B21" s="167"/>
    </row>
    <row r="22" spans="2:7">
      <c r="B22" s="167"/>
    </row>
    <row r="23" spans="2:7">
      <c r="B23" s="167"/>
    </row>
    <row r="24" spans="2:7">
      <c r="B24" s="167"/>
    </row>
    <row r="25" spans="2:7">
      <c r="B25" s="167"/>
    </row>
    <row r="26" spans="2:7">
      <c r="B26" s="167"/>
    </row>
    <row r="27" spans="2:7">
      <c r="B27" s="167"/>
    </row>
    <row r="28" spans="2:7">
      <c r="B28" s="167"/>
    </row>
    <row r="29" spans="2:7">
      <c r="B29" s="167"/>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2F29-A185-4722-9BA5-505AF5A25096}">
  <dimension ref="A1:C26"/>
  <sheetViews>
    <sheetView topLeftCell="A7" workbookViewId="0">
      <selection activeCell="A27" sqref="A27"/>
    </sheetView>
  </sheetViews>
  <sheetFormatPr defaultColWidth="8.625" defaultRowHeight="11.25"/>
  <cols>
    <col min="1" max="1" width="55.625" style="70" bestFit="1" customWidth="1"/>
    <col min="2" max="2" width="6.625" style="84" bestFit="1" customWidth="1"/>
    <col min="3" max="3" width="53.625" style="70" bestFit="1" customWidth="1"/>
    <col min="4" max="16384" width="8.625" style="62"/>
  </cols>
  <sheetData>
    <row r="1" spans="1:3">
      <c r="A1" s="70" t="s">
        <v>199</v>
      </c>
    </row>
    <row r="2" spans="1:3">
      <c r="A2" s="63" t="s">
        <v>181</v>
      </c>
      <c r="B2" s="63"/>
      <c r="C2" s="63" t="s">
        <v>193</v>
      </c>
    </row>
    <row r="3" spans="1:3">
      <c r="A3" s="71" t="s">
        <v>275</v>
      </c>
      <c r="B3" s="67" t="s">
        <v>183</v>
      </c>
      <c r="C3" s="71" t="s">
        <v>276</v>
      </c>
    </row>
    <row r="4" spans="1:3">
      <c r="A4" s="71" t="s">
        <v>277</v>
      </c>
      <c r="B4" s="67" t="s">
        <v>183</v>
      </c>
      <c r="C4" s="71" t="s">
        <v>629</v>
      </c>
    </row>
    <row r="5" spans="1:3">
      <c r="A5" s="71" t="s">
        <v>278</v>
      </c>
      <c r="B5" s="67" t="s">
        <v>183</v>
      </c>
      <c r="C5" s="71" t="s">
        <v>348</v>
      </c>
    </row>
    <row r="6" spans="1:3">
      <c r="A6" s="71" t="s">
        <v>279</v>
      </c>
      <c r="B6" s="67" t="s">
        <v>183</v>
      </c>
      <c r="C6" s="71" t="s">
        <v>280</v>
      </c>
    </row>
    <row r="7" spans="1:3">
      <c r="A7" s="72" t="s">
        <v>630</v>
      </c>
      <c r="B7" s="67" t="s">
        <v>183</v>
      </c>
      <c r="C7" s="72"/>
    </row>
    <row r="8" spans="1:3">
      <c r="A8" s="72" t="s">
        <v>274</v>
      </c>
      <c r="B8" s="67" t="s">
        <v>183</v>
      </c>
      <c r="C8" s="72"/>
    </row>
    <row r="9" spans="1:3">
      <c r="A9" s="72" t="s">
        <v>281</v>
      </c>
      <c r="B9" s="67" t="s">
        <v>183</v>
      </c>
      <c r="C9" s="72" t="s">
        <v>307</v>
      </c>
    </row>
    <row r="10" spans="1:3">
      <c r="A10" s="72" t="s">
        <v>311</v>
      </c>
      <c r="B10" s="67" t="s">
        <v>183</v>
      </c>
      <c r="C10" s="72" t="s">
        <v>307</v>
      </c>
    </row>
    <row r="11" spans="1:3">
      <c r="A11" s="72" t="s">
        <v>312</v>
      </c>
      <c r="B11" s="67" t="s">
        <v>183</v>
      </c>
      <c r="C11" s="72" t="s">
        <v>313</v>
      </c>
    </row>
    <row r="12" spans="1:3">
      <c r="A12" s="257" t="s">
        <v>318</v>
      </c>
      <c r="B12" s="67" t="s">
        <v>183</v>
      </c>
      <c r="C12" s="72" t="s">
        <v>327</v>
      </c>
    </row>
    <row r="13" spans="1:3">
      <c r="A13" s="257" t="s">
        <v>319</v>
      </c>
      <c r="B13" s="67" t="s">
        <v>183</v>
      </c>
      <c r="C13" s="72" t="s">
        <v>325</v>
      </c>
    </row>
    <row r="14" spans="1:3">
      <c r="A14" s="257" t="s">
        <v>329</v>
      </c>
      <c r="B14" s="67" t="s">
        <v>183</v>
      </c>
      <c r="C14" s="72"/>
    </row>
    <row r="15" spans="1:3">
      <c r="A15" s="257" t="s">
        <v>328</v>
      </c>
      <c r="B15" s="67" t="s">
        <v>183</v>
      </c>
      <c r="C15" s="72" t="s">
        <v>243</v>
      </c>
    </row>
    <row r="16" spans="1:3">
      <c r="A16" s="72" t="s">
        <v>317</v>
      </c>
      <c r="B16" s="67" t="s">
        <v>183</v>
      </c>
      <c r="C16" s="72" t="s">
        <v>253</v>
      </c>
    </row>
    <row r="17" spans="1:3">
      <c r="A17" s="257" t="s">
        <v>326</v>
      </c>
      <c r="B17" s="67" t="s">
        <v>183</v>
      </c>
      <c r="C17" s="72"/>
    </row>
    <row r="18" spans="1:3">
      <c r="A18" s="72" t="s">
        <v>354</v>
      </c>
      <c r="B18" s="67" t="s">
        <v>183</v>
      </c>
      <c r="C18" s="72" t="s">
        <v>330</v>
      </c>
    </row>
    <row r="19" spans="1:3">
      <c r="A19" s="72" t="s">
        <v>331</v>
      </c>
      <c r="B19" s="67" t="s">
        <v>183</v>
      </c>
      <c r="C19" s="72"/>
    </row>
    <row r="20" spans="1:3">
      <c r="A20" s="257" t="s">
        <v>332</v>
      </c>
      <c r="B20" s="67" t="s">
        <v>183</v>
      </c>
      <c r="C20" s="72" t="s">
        <v>631</v>
      </c>
    </row>
    <row r="21" spans="1:3">
      <c r="A21" s="69" t="s">
        <v>336</v>
      </c>
      <c r="B21" s="67" t="s">
        <v>183</v>
      </c>
      <c r="C21" s="72"/>
    </row>
    <row r="22" spans="1:3">
      <c r="A22" s="64" t="s">
        <v>341</v>
      </c>
      <c r="B22" s="67" t="s">
        <v>183</v>
      </c>
      <c r="C22" s="64"/>
    </row>
    <row r="23" spans="1:3">
      <c r="A23" s="70" t="s">
        <v>355</v>
      </c>
    </row>
    <row r="24" spans="1:3">
      <c r="A24" s="70" t="s">
        <v>356</v>
      </c>
    </row>
    <row r="25" spans="1:3">
      <c r="A25" s="70" t="s">
        <v>357</v>
      </c>
    </row>
    <row r="26" spans="1:3">
      <c r="A26" s="70" t="s">
        <v>643</v>
      </c>
    </row>
  </sheetData>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1E0E-33D5-4B07-A2C2-2A6B56A17015}">
  <dimension ref="B1:M364"/>
  <sheetViews>
    <sheetView tabSelected="1" topLeftCell="A56" workbookViewId="0">
      <selection activeCell="I82" sqref="I82"/>
    </sheetView>
  </sheetViews>
  <sheetFormatPr defaultColWidth="8.625" defaultRowHeight="11.25"/>
  <cols>
    <col min="1" max="1" width="1.5" style="73" customWidth="1"/>
    <col min="2" max="2" width="9.5" style="73" customWidth="1"/>
    <col min="3" max="3" width="27.875" style="73" customWidth="1"/>
    <col min="4" max="4" width="10.625" style="129" customWidth="1"/>
    <col min="5" max="5" width="10.625" style="73" customWidth="1"/>
    <col min="6" max="7" width="13.75" style="73" customWidth="1"/>
    <col min="8" max="8" width="10.625" style="73" customWidth="1"/>
    <col min="9" max="11" width="7.25" style="73" customWidth="1"/>
    <col min="12" max="12" width="7.375" style="73" customWidth="1"/>
    <col min="13" max="13" width="7" style="73" bestFit="1" customWidth="1"/>
    <col min="14" max="14" width="10.875" style="73" bestFit="1" customWidth="1"/>
    <col min="15" max="100" width="10.75" style="73" customWidth="1"/>
    <col min="101" max="16384" width="8.625" style="73"/>
  </cols>
  <sheetData>
    <row r="1" spans="2:8">
      <c r="B1" s="102" t="s">
        <v>434</v>
      </c>
      <c r="C1" s="102"/>
      <c r="D1" s="204" t="s">
        <v>515</v>
      </c>
    </row>
    <row r="2" spans="2:8">
      <c r="B2" s="102" t="s">
        <v>664</v>
      </c>
      <c r="C2" s="102"/>
      <c r="D2" s="205" t="s">
        <v>413</v>
      </c>
    </row>
    <row r="3" spans="2:8">
      <c r="D3" s="131"/>
    </row>
    <row r="4" spans="2:8" s="209" customFormat="1" ht="13.5">
      <c r="B4" s="127" t="s">
        <v>547</v>
      </c>
      <c r="C4" s="248" t="s">
        <v>548</v>
      </c>
      <c r="D4" s="214">
        <v>2</v>
      </c>
      <c r="E4" s="371" t="s">
        <v>603</v>
      </c>
      <c r="F4" s="372"/>
      <c r="G4" s="373"/>
    </row>
    <row r="5" spans="2:8" s="209" customFormat="1" ht="13.5" customHeight="1">
      <c r="B5" s="368" t="s">
        <v>549</v>
      </c>
      <c r="C5" s="249" t="s">
        <v>550</v>
      </c>
      <c r="D5" s="214">
        <v>1852</v>
      </c>
      <c r="E5" s="127" t="s">
        <v>305</v>
      </c>
      <c r="F5" s="374" t="s">
        <v>604</v>
      </c>
      <c r="G5" s="375"/>
    </row>
    <row r="6" spans="2:8" s="209" customFormat="1" ht="13.5">
      <c r="B6" s="369"/>
      <c r="C6" s="250" t="s">
        <v>551</v>
      </c>
      <c r="D6" s="214">
        <v>583</v>
      </c>
      <c r="E6" s="127" t="s">
        <v>305</v>
      </c>
      <c r="F6" s="376"/>
      <c r="G6" s="377"/>
    </row>
    <row r="7" spans="2:8" s="209" customFormat="1" ht="13.5">
      <c r="B7" s="369"/>
      <c r="C7" s="250" t="s">
        <v>552</v>
      </c>
      <c r="D7" s="214">
        <v>0</v>
      </c>
      <c r="E7" s="127" t="s">
        <v>305</v>
      </c>
      <c r="F7" s="376"/>
      <c r="G7" s="377"/>
    </row>
    <row r="8" spans="2:8" s="209" customFormat="1" ht="13.5">
      <c r="B8" s="369"/>
      <c r="C8" s="250" t="s">
        <v>20</v>
      </c>
      <c r="D8" s="214">
        <v>117</v>
      </c>
      <c r="E8" s="127" t="s">
        <v>289</v>
      </c>
      <c r="F8" s="376"/>
      <c r="G8" s="377"/>
    </row>
    <row r="9" spans="2:8" s="209" customFormat="1" ht="13.5">
      <c r="B9" s="369"/>
      <c r="C9" s="250" t="s">
        <v>21</v>
      </c>
      <c r="D9" s="214">
        <v>41</v>
      </c>
      <c r="E9" s="127" t="s">
        <v>289</v>
      </c>
      <c r="F9" s="376"/>
      <c r="G9" s="377"/>
    </row>
    <row r="10" spans="2:8" s="209" customFormat="1" ht="13.5">
      <c r="B10" s="369"/>
      <c r="C10" s="250" t="s">
        <v>553</v>
      </c>
      <c r="D10" s="214">
        <v>1</v>
      </c>
      <c r="E10" s="127" t="s">
        <v>305</v>
      </c>
      <c r="F10" s="376"/>
      <c r="G10" s="377"/>
    </row>
    <row r="11" spans="2:8" s="209" customFormat="1" ht="13.5">
      <c r="B11" s="369"/>
      <c r="C11" s="250" t="s">
        <v>554</v>
      </c>
      <c r="D11" s="214">
        <v>0</v>
      </c>
      <c r="E11" s="127" t="s">
        <v>305</v>
      </c>
      <c r="F11" s="376"/>
      <c r="G11" s="377"/>
    </row>
    <row r="12" spans="2:8" s="209" customFormat="1" ht="13.5">
      <c r="B12" s="369"/>
      <c r="C12" s="250" t="s">
        <v>555</v>
      </c>
      <c r="D12" s="214">
        <v>0</v>
      </c>
      <c r="E12" s="127" t="s">
        <v>305</v>
      </c>
      <c r="F12" s="376"/>
      <c r="G12" s="377"/>
    </row>
    <row r="13" spans="2:8" s="209" customFormat="1" ht="13.5">
      <c r="B13" s="369"/>
      <c r="C13" s="250" t="s">
        <v>556</v>
      </c>
      <c r="D13" s="214">
        <v>0</v>
      </c>
      <c r="E13" s="127" t="s">
        <v>305</v>
      </c>
      <c r="F13" s="376"/>
      <c r="G13" s="377"/>
    </row>
    <row r="14" spans="2:8" s="209" customFormat="1" ht="13.5">
      <c r="B14" s="370"/>
      <c r="C14" s="251" t="s">
        <v>557</v>
      </c>
      <c r="D14" s="214">
        <v>17404400</v>
      </c>
      <c r="E14" s="127" t="s">
        <v>290</v>
      </c>
      <c r="F14" s="378"/>
      <c r="G14" s="379"/>
    </row>
    <row r="15" spans="2:8">
      <c r="B15" s="381" t="s">
        <v>412</v>
      </c>
      <c r="C15" s="381"/>
      <c r="D15" s="101"/>
      <c r="E15" s="80"/>
    </row>
    <row r="16" spans="2:8">
      <c r="B16" s="357" t="s">
        <v>484</v>
      </c>
      <c r="C16" s="358"/>
      <c r="D16" s="85" t="s">
        <v>485</v>
      </c>
      <c r="E16" s="80" t="s">
        <v>522</v>
      </c>
      <c r="F16" s="80"/>
      <c r="G16" s="80"/>
      <c r="H16" s="80"/>
    </row>
    <row r="17" spans="2:8">
      <c r="B17" s="350" t="s">
        <v>257</v>
      </c>
      <c r="C17" s="352"/>
      <c r="D17" s="85">
        <v>10</v>
      </c>
      <c r="E17" s="80" t="s">
        <v>527</v>
      </c>
    </row>
    <row r="18" spans="2:8">
      <c r="B18" s="350" t="s">
        <v>506</v>
      </c>
      <c r="C18" s="352"/>
      <c r="D18" s="85">
        <v>164</v>
      </c>
      <c r="E18" s="80" t="s">
        <v>524</v>
      </c>
    </row>
    <row r="19" spans="2:8">
      <c r="B19" s="350" t="s">
        <v>505</v>
      </c>
      <c r="C19" s="352"/>
      <c r="D19" s="85">
        <v>1148</v>
      </c>
      <c r="E19" s="80" t="s">
        <v>518</v>
      </c>
    </row>
    <row r="20" spans="2:8">
      <c r="B20" s="350" t="s">
        <v>510</v>
      </c>
      <c r="C20" s="352"/>
      <c r="D20" s="85"/>
      <c r="E20" s="80" t="s">
        <v>525</v>
      </c>
    </row>
    <row r="21" spans="2:8">
      <c r="B21" s="350" t="s">
        <v>398</v>
      </c>
      <c r="C21" s="352"/>
      <c r="D21" s="85" t="s">
        <v>399</v>
      </c>
      <c r="E21" s="80" t="s">
        <v>408</v>
      </c>
    </row>
    <row r="22" spans="2:8">
      <c r="B22" s="73" t="s">
        <v>416</v>
      </c>
      <c r="D22" s="130"/>
      <c r="G22" s="113"/>
      <c r="H22" s="80"/>
    </row>
    <row r="23" spans="2:8">
      <c r="B23" s="357" t="s">
        <v>484</v>
      </c>
      <c r="C23" s="358"/>
      <c r="D23" s="85" t="s">
        <v>485</v>
      </c>
      <c r="E23" s="80" t="s">
        <v>522</v>
      </c>
      <c r="F23" s="80"/>
      <c r="G23" s="80"/>
      <c r="H23" s="80"/>
    </row>
    <row r="24" spans="2:8">
      <c r="B24" s="350" t="s">
        <v>417</v>
      </c>
      <c r="C24" s="352"/>
      <c r="D24" s="85">
        <v>30342</v>
      </c>
      <c r="E24" s="80" t="s">
        <v>602</v>
      </c>
      <c r="G24" s="113"/>
      <c r="H24" s="80"/>
    </row>
    <row r="25" spans="2:8">
      <c r="B25" s="350" t="s">
        <v>418</v>
      </c>
      <c r="C25" s="352"/>
      <c r="D25" s="83">
        <v>259</v>
      </c>
      <c r="E25" s="80" t="s">
        <v>602</v>
      </c>
      <c r="G25" s="113"/>
      <c r="H25" s="80"/>
    </row>
    <row r="26" spans="2:8">
      <c r="B26" s="350" t="s">
        <v>419</v>
      </c>
      <c r="C26" s="352"/>
      <c r="D26" s="83"/>
      <c r="E26" s="80" t="s">
        <v>525</v>
      </c>
      <c r="G26" s="113"/>
      <c r="H26" s="80"/>
    </row>
    <row r="27" spans="2:8">
      <c r="B27" s="350" t="s">
        <v>398</v>
      </c>
      <c r="C27" s="352"/>
      <c r="D27" s="83" t="s">
        <v>399</v>
      </c>
      <c r="E27" s="80" t="s">
        <v>401</v>
      </c>
      <c r="G27" s="113"/>
      <c r="H27" s="80"/>
    </row>
    <row r="28" spans="2:8">
      <c r="D28" s="131"/>
    </row>
    <row r="29" spans="2:8">
      <c r="B29" s="350" t="s">
        <v>451</v>
      </c>
      <c r="C29" s="352"/>
      <c r="D29" s="134">
        <v>2.7</v>
      </c>
    </row>
    <row r="30" spans="2:8">
      <c r="D30" s="131"/>
    </row>
    <row r="31" spans="2:8">
      <c r="B31" s="102" t="s">
        <v>413</v>
      </c>
      <c r="D31" s="130"/>
      <c r="G31" s="113"/>
      <c r="H31" s="80"/>
    </row>
    <row r="32" spans="2:8">
      <c r="B32" s="362" t="s">
        <v>282</v>
      </c>
      <c r="C32" s="363"/>
      <c r="D32" s="225" t="s">
        <v>308</v>
      </c>
      <c r="H32" s="78"/>
    </row>
    <row r="33" spans="2:8">
      <c r="B33" s="364" t="s">
        <v>292</v>
      </c>
      <c r="C33" s="365"/>
      <c r="D33" s="114">
        <f t="shared" ref="D33:D38" si="0">C151</f>
        <v>14605</v>
      </c>
      <c r="E33" s="73" t="s">
        <v>404</v>
      </c>
      <c r="F33" s="79"/>
      <c r="G33" s="164"/>
    </row>
    <row r="34" spans="2:8">
      <c r="B34" s="364" t="s">
        <v>293</v>
      </c>
      <c r="C34" s="365"/>
      <c r="D34" s="114">
        <f t="shared" si="0"/>
        <v>49657</v>
      </c>
      <c r="E34" s="74" t="s">
        <v>402</v>
      </c>
      <c r="G34" s="79"/>
      <c r="H34" s="78"/>
    </row>
    <row r="35" spans="2:8">
      <c r="B35" s="364" t="s">
        <v>294</v>
      </c>
      <c r="C35" s="365"/>
      <c r="D35" s="114">
        <f t="shared" si="0"/>
        <v>87630</v>
      </c>
      <c r="E35" s="74" t="s">
        <v>403</v>
      </c>
      <c r="G35" s="79"/>
      <c r="H35" s="78"/>
    </row>
    <row r="36" spans="2:8">
      <c r="B36" s="364" t="s">
        <v>295</v>
      </c>
      <c r="C36" s="365"/>
      <c r="D36" s="114">
        <f t="shared" si="0"/>
        <v>119761</v>
      </c>
      <c r="E36" s="74" t="s">
        <v>404</v>
      </c>
      <c r="G36" s="79"/>
      <c r="H36" s="78"/>
    </row>
    <row r="37" spans="2:8">
      <c r="B37" s="364" t="s">
        <v>296</v>
      </c>
      <c r="C37" s="365"/>
      <c r="D37" s="114">
        <f t="shared" si="0"/>
        <v>8763</v>
      </c>
      <c r="E37" s="74" t="s">
        <v>405</v>
      </c>
      <c r="G37" s="79"/>
      <c r="H37" s="75"/>
    </row>
    <row r="38" spans="2:8">
      <c r="B38" s="364" t="s">
        <v>297</v>
      </c>
      <c r="C38" s="365"/>
      <c r="D38" s="114">
        <f t="shared" si="0"/>
        <v>11684</v>
      </c>
      <c r="E38" s="74" t="s">
        <v>619</v>
      </c>
      <c r="G38" s="79"/>
      <c r="H38" s="75"/>
    </row>
    <row r="39" spans="2:8">
      <c r="B39" s="364" t="s">
        <v>298</v>
      </c>
      <c r="C39" s="365"/>
      <c r="D39" s="234">
        <f>SUM(D33:D38)</f>
        <v>292100</v>
      </c>
      <c r="E39" s="74"/>
      <c r="G39" s="79"/>
      <c r="H39" s="75"/>
    </row>
    <row r="40" spans="2:8">
      <c r="B40" s="350" t="str">
        <f>B157</f>
        <v>津波堆積物</v>
      </c>
      <c r="C40" s="352"/>
      <c r="D40" s="114">
        <f>C157</f>
        <v>417705.60000000003</v>
      </c>
      <c r="E40" s="74" t="s">
        <v>427</v>
      </c>
    </row>
    <row r="41" spans="2:8">
      <c r="D41" s="247"/>
      <c r="E41" s="74"/>
    </row>
    <row r="42" spans="2:8">
      <c r="B42" s="356" t="s">
        <v>542</v>
      </c>
      <c r="C42" s="356"/>
      <c r="D42" s="114">
        <f>D86</f>
        <v>6500</v>
      </c>
      <c r="E42" s="74"/>
    </row>
    <row r="44" spans="2:8">
      <c r="B44" s="350" t="s">
        <v>599</v>
      </c>
      <c r="C44" s="352"/>
      <c r="D44" s="114">
        <f>D34+し尿避難所ごみ!C73*365*D29</f>
        <v>53637.631600000001</v>
      </c>
      <c r="E44" s="73" t="s">
        <v>452</v>
      </c>
    </row>
    <row r="45" spans="2:8">
      <c r="B45" s="350" t="s">
        <v>600</v>
      </c>
      <c r="C45" s="352"/>
      <c r="D45" s="114">
        <f>ROUNDDOWN(D35+D44*0.2,0)</f>
        <v>98357</v>
      </c>
      <c r="E45" s="73" t="s">
        <v>433</v>
      </c>
    </row>
    <row r="47" spans="2:8">
      <c r="B47" s="115" t="s">
        <v>428</v>
      </c>
      <c r="C47" s="115"/>
    </row>
    <row r="48" spans="2:8">
      <c r="B48" s="350" t="s">
        <v>657</v>
      </c>
      <c r="C48" s="352"/>
      <c r="D48" s="95">
        <f>F164</f>
        <v>1300</v>
      </c>
    </row>
    <row r="49" spans="2:13">
      <c r="B49" s="350" t="s">
        <v>601</v>
      </c>
      <c r="C49" s="352"/>
      <c r="D49" s="95">
        <f>IF(D16="単独",ROUNDDOWN(D163,-2),ROUNDDOWN(D164,-2))</f>
        <v>-52300</v>
      </c>
      <c r="E49" s="102" t="str">
        <f>IF(D49&lt;0,CONCATENATE(D49*-1,"ｔ/期間の支援が必要です"),"")</f>
        <v>52300ｔ/期間の支援が必要です</v>
      </c>
    </row>
    <row r="50" spans="2:13">
      <c r="D50" s="109"/>
    </row>
    <row r="51" spans="2:13">
      <c r="B51" s="115" t="s">
        <v>658</v>
      </c>
      <c r="C51" s="115"/>
      <c r="D51" s="77"/>
    </row>
    <row r="52" spans="2:13">
      <c r="B52" s="350" t="s">
        <v>310</v>
      </c>
      <c r="C52" s="352"/>
      <c r="D52" s="95">
        <f>ROUND(D39/(4*365*D29),0)</f>
        <v>74</v>
      </c>
      <c r="E52" s="73" t="s">
        <v>324</v>
      </c>
    </row>
    <row r="53" spans="2:13">
      <c r="B53" s="350" t="s">
        <v>665</v>
      </c>
      <c r="C53" s="352"/>
      <c r="D53" s="95">
        <f>ROUND(D40/(10*365*D29),0)</f>
        <v>42</v>
      </c>
      <c r="E53" s="73" t="s">
        <v>606</v>
      </c>
    </row>
    <row r="54" spans="2:13">
      <c r="B54" s="73" t="s">
        <v>379</v>
      </c>
      <c r="D54" s="130"/>
      <c r="G54" s="75"/>
      <c r="H54" s="75"/>
      <c r="I54" s="75"/>
      <c r="J54" s="75"/>
      <c r="K54" s="75"/>
      <c r="L54" s="75"/>
      <c r="M54" s="75"/>
    </row>
    <row r="55" spans="2:13">
      <c r="B55" s="73" t="s">
        <v>439</v>
      </c>
      <c r="D55" s="130"/>
      <c r="G55" s="75"/>
      <c r="H55" s="75"/>
      <c r="I55" s="75"/>
      <c r="J55" s="75"/>
      <c r="K55" s="75"/>
      <c r="L55" s="75"/>
      <c r="M55" s="75"/>
    </row>
    <row r="57" spans="2:13">
      <c r="B57" s="73" t="s">
        <v>429</v>
      </c>
    </row>
    <row r="58" spans="2:13">
      <c r="B58" s="350" t="s">
        <v>657</v>
      </c>
      <c r="C58" s="352"/>
      <c r="D58" s="95">
        <f>E181</f>
        <v>27700</v>
      </c>
    </row>
    <row r="59" spans="2:13">
      <c r="B59" s="350" t="s">
        <v>666</v>
      </c>
      <c r="C59" s="352"/>
      <c r="D59" s="234">
        <f>ROUNDDOWN(IF(D23="単独",E174-D45,E175-D45),-2)</f>
        <v>-70600</v>
      </c>
      <c r="E59" s="102" t="str">
        <f>IF(D59&lt;0,CONCATENATE(D59*-1,"ｔ/期間の支援が必要です"),"")</f>
        <v>70600ｔ/期間の支援が必要です</v>
      </c>
    </row>
    <row r="60" spans="2:13">
      <c r="D60" s="131"/>
    </row>
    <row r="61" spans="2:13">
      <c r="D61" s="131"/>
    </row>
    <row r="62" spans="2:13">
      <c r="B62" s="206"/>
      <c r="C62" s="206"/>
      <c r="D62" s="252"/>
      <c r="E62" s="206"/>
      <c r="F62" s="206"/>
      <c r="G62" s="206"/>
      <c r="H62" s="206"/>
      <c r="I62" s="206"/>
    </row>
    <row r="63" spans="2:13">
      <c r="B63" s="73" t="s">
        <v>309</v>
      </c>
      <c r="D63" s="131"/>
    </row>
    <row r="64" spans="2:13">
      <c r="D64" s="131"/>
    </row>
    <row r="65" spans="2:11" ht="10.5" customHeight="1">
      <c r="B65" s="73" t="s">
        <v>544</v>
      </c>
      <c r="D65" s="131"/>
    </row>
    <row r="66" spans="2:11">
      <c r="B66" s="73" t="s">
        <v>529</v>
      </c>
      <c r="D66" s="73"/>
    </row>
    <row r="67" spans="2:11">
      <c r="B67" s="362" t="s">
        <v>223</v>
      </c>
      <c r="C67" s="363"/>
      <c r="D67" s="179" t="s">
        <v>299</v>
      </c>
      <c r="E67" s="123"/>
      <c r="H67" s="80"/>
      <c r="I67" s="80"/>
      <c r="J67" s="80"/>
    </row>
    <row r="68" spans="2:11">
      <c r="B68" s="356" t="s">
        <v>530</v>
      </c>
      <c r="C68" s="105" t="s">
        <v>533</v>
      </c>
      <c r="D68" s="210">
        <v>1.7</v>
      </c>
      <c r="E68" s="80" t="s">
        <v>532</v>
      </c>
      <c r="I68" s="80"/>
      <c r="J68" s="80"/>
    </row>
    <row r="69" spans="2:11">
      <c r="B69" s="356"/>
      <c r="C69" s="105" t="s">
        <v>535</v>
      </c>
      <c r="D69" s="210">
        <v>2.5</v>
      </c>
      <c r="E69" s="80" t="s">
        <v>532</v>
      </c>
      <c r="I69" s="80"/>
      <c r="J69" s="80"/>
    </row>
    <row r="70" spans="2:11">
      <c r="B70" s="380" t="s">
        <v>852</v>
      </c>
      <c r="C70" s="105" t="s">
        <v>533</v>
      </c>
      <c r="D70" s="211">
        <v>500</v>
      </c>
      <c r="E70" s="80" t="s">
        <v>534</v>
      </c>
      <c r="I70" s="80"/>
      <c r="J70" s="80"/>
    </row>
    <row r="71" spans="2:11">
      <c r="B71" s="380"/>
      <c r="C71" s="105" t="s">
        <v>535</v>
      </c>
      <c r="D71" s="211">
        <v>700</v>
      </c>
      <c r="E71" s="80" t="s">
        <v>534</v>
      </c>
      <c r="I71" s="80"/>
      <c r="J71" s="80"/>
    </row>
    <row r="72" spans="2:11">
      <c r="B72" s="123"/>
      <c r="C72" s="123"/>
      <c r="D72" s="73"/>
      <c r="E72" s="120"/>
      <c r="F72" s="212"/>
      <c r="I72" s="80"/>
      <c r="J72" s="80"/>
      <c r="K72" s="80"/>
    </row>
    <row r="73" spans="2:11" ht="11.25" customHeight="1">
      <c r="B73" s="268" t="s">
        <v>536</v>
      </c>
      <c r="C73" s="267"/>
      <c r="D73" s="119"/>
      <c r="E73" s="120"/>
      <c r="F73" s="212"/>
      <c r="G73" s="80"/>
      <c r="I73" s="80"/>
      <c r="J73" s="80"/>
      <c r="K73" s="80"/>
    </row>
    <row r="74" spans="2:11">
      <c r="B74" s="118" t="s">
        <v>531</v>
      </c>
      <c r="C74" s="99" t="str">
        <f>IF(AND(SUM(D5:D9,D12:D13)&lt;1000,D4=1)=TRUE,1,"")</f>
        <v/>
      </c>
      <c r="D74" s="213" t="str">
        <f>IF(C74=1,D71,"")</f>
        <v/>
      </c>
      <c r="E74" s="73" t="s">
        <v>291</v>
      </c>
    </row>
    <row r="75" spans="2:11">
      <c r="B75" s="118" t="s">
        <v>537</v>
      </c>
      <c r="C75" s="99" t="str">
        <f>IF(AND(SUM(D5:D9,D12:D13)&lt;1000,D4=2)=TRUE,1,"")</f>
        <v/>
      </c>
      <c r="D75" s="213" t="str">
        <f>IF(C75=1,D71,"")</f>
        <v/>
      </c>
      <c r="E75" s="73" t="s">
        <v>291</v>
      </c>
    </row>
    <row r="76" spans="2:11">
      <c r="B76" s="118" t="s">
        <v>538</v>
      </c>
      <c r="C76" s="99" t="str">
        <f>IF(AND(SUM(D5:D9,D12:D13)&lt;1000,D4=3)=TRUE,1,"")</f>
        <v/>
      </c>
      <c r="D76" s="213" t="str">
        <f>IF(C76=1,D70,"")</f>
        <v/>
      </c>
      <c r="E76" s="73" t="s">
        <v>291</v>
      </c>
    </row>
    <row r="77" spans="2:11">
      <c r="B77" s="118" t="s">
        <v>539</v>
      </c>
      <c r="C77" s="99" t="str">
        <f>IF(AND(SUM(D5:D9,D12:D13)&lt;1000,D4=4)=TRUE,1,"")</f>
        <v/>
      </c>
      <c r="D77" s="213" t="str">
        <f>IF(C77=1,D70,"")</f>
        <v/>
      </c>
      <c r="E77" s="73" t="s">
        <v>291</v>
      </c>
    </row>
    <row r="78" spans="2:11">
      <c r="C78" s="73" t="s">
        <v>540</v>
      </c>
    </row>
    <row r="79" spans="2:11">
      <c r="B79" s="73" t="s">
        <v>541</v>
      </c>
      <c r="D79" s="73"/>
    </row>
    <row r="80" spans="2:11" ht="13.5">
      <c r="B80" s="391" t="s">
        <v>531</v>
      </c>
      <c r="C80" s="392" t="str">
        <f>IF(AND(SUM(D5:D9,D12:D13)&gt;=1000,D4=1)=TRUE,1,"")</f>
        <v/>
      </c>
      <c r="D80" s="393" t="str">
        <f>IF(C80=1,SUM(D5:D9,D12:D13)*D69,"")</f>
        <v/>
      </c>
      <c r="E80" s="73" t="s">
        <v>291</v>
      </c>
    </row>
    <row r="81" spans="2:10" ht="13.5">
      <c r="B81" s="391" t="s">
        <v>537</v>
      </c>
      <c r="C81" s="392">
        <f>IF(AND(SUM(D5:D9,D12:D13)&gt;=1000,D4=2)=TRUE,1,"")</f>
        <v>1</v>
      </c>
      <c r="D81" s="393">
        <f>IF(C81=1,SUM(D5:D9,D12:D13)*D69,"")</f>
        <v>6482.5</v>
      </c>
      <c r="E81" s="73" t="s">
        <v>291</v>
      </c>
    </row>
    <row r="82" spans="2:10" ht="13.5">
      <c r="B82" s="391" t="s">
        <v>538</v>
      </c>
      <c r="C82" s="392" t="str">
        <f>IF(AND(SUM(D5:D9,D12:D13)&gt;=1000,D4=3)=TRUE,1,"")</f>
        <v/>
      </c>
      <c r="D82" s="393" t="str">
        <f>IF(C82=1,SUM(D5:D9,D12:D13)*D68,"")</f>
        <v/>
      </c>
      <c r="E82" s="73" t="s">
        <v>291</v>
      </c>
    </row>
    <row r="83" spans="2:10" ht="13.5">
      <c r="B83" s="391" t="s">
        <v>539</v>
      </c>
      <c r="C83" s="392" t="str">
        <f>IF(AND(SUM(D5:D9,D12:D13)&gt;=1000,D4=4)=TRUE,1,"")</f>
        <v/>
      </c>
      <c r="D83" s="393" t="str">
        <f>IF(C83=1,SUM(D5:D9,D12:D13)*D68,"")</f>
        <v/>
      </c>
      <c r="E83" s="73" t="s">
        <v>291</v>
      </c>
    </row>
    <row r="84" spans="2:10">
      <c r="C84" s="73" t="s">
        <v>540</v>
      </c>
    </row>
    <row r="85" spans="2:10">
      <c r="D85" s="73"/>
    </row>
    <row r="86" spans="2:10">
      <c r="B86" s="356" t="s">
        <v>543</v>
      </c>
      <c r="C86" s="356"/>
      <c r="D86" s="122">
        <f>ROUNDUP(VLOOKUP(1,C74:D83,2),-2)</f>
        <v>6500</v>
      </c>
      <c r="E86" s="73" t="s">
        <v>291</v>
      </c>
    </row>
    <row r="87" spans="2:10">
      <c r="D87" s="131"/>
    </row>
    <row r="88" spans="2:10">
      <c r="B88" s="80"/>
      <c r="C88" s="80"/>
      <c r="D88" s="80"/>
      <c r="E88" s="80" t="s">
        <v>558</v>
      </c>
      <c r="J88" s="119"/>
    </row>
    <row r="89" spans="2:10">
      <c r="B89" s="97" t="s">
        <v>559</v>
      </c>
      <c r="C89" s="357" t="s">
        <v>560</v>
      </c>
      <c r="D89" s="358"/>
      <c r="E89" s="266">
        <f>VLOOKUP(し尿避難所ごみ!C5,発生量処理能力!B186:D364,2)</f>
        <v>110.52489208633094</v>
      </c>
      <c r="F89" s="73" t="s">
        <v>561</v>
      </c>
      <c r="J89" s="119"/>
    </row>
    <row r="90" spans="2:10">
      <c r="B90" s="97" t="s">
        <v>562</v>
      </c>
      <c r="C90" s="357" t="s">
        <v>563</v>
      </c>
      <c r="D90" s="358"/>
      <c r="E90" s="266">
        <f>VLOOKUP(し尿避難所ごみ!C5,発生量処理能力!B186:D364,3)</f>
        <v>157.20981387478849</v>
      </c>
      <c r="F90" s="73" t="s">
        <v>561</v>
      </c>
      <c r="J90" s="119"/>
    </row>
    <row r="91" spans="2:10">
      <c r="B91" s="97" t="s">
        <v>300</v>
      </c>
      <c r="C91" s="357" t="s">
        <v>564</v>
      </c>
      <c r="D91" s="358"/>
      <c r="E91" s="215">
        <v>0.5</v>
      </c>
      <c r="F91" s="73" t="s">
        <v>565</v>
      </c>
      <c r="J91" s="119"/>
    </row>
    <row r="92" spans="2:10">
      <c r="B92" s="97" t="s">
        <v>301</v>
      </c>
      <c r="C92" s="357" t="s">
        <v>566</v>
      </c>
      <c r="D92" s="358"/>
      <c r="E92" s="215">
        <v>1.2</v>
      </c>
      <c r="F92" s="73" t="s">
        <v>565</v>
      </c>
      <c r="J92" s="119"/>
    </row>
    <row r="93" spans="2:10">
      <c r="B93" s="97" t="s">
        <v>567</v>
      </c>
      <c r="C93" s="357" t="s">
        <v>568</v>
      </c>
      <c r="D93" s="358"/>
      <c r="E93" s="216">
        <v>0.89200000000000002</v>
      </c>
      <c r="J93" s="119"/>
    </row>
    <row r="94" spans="2:10">
      <c r="B94" s="97" t="s">
        <v>569</v>
      </c>
      <c r="C94" s="357" t="s">
        <v>570</v>
      </c>
      <c r="D94" s="358"/>
      <c r="E94" s="216">
        <v>0.108</v>
      </c>
      <c r="J94" s="119"/>
    </row>
    <row r="95" spans="2:10">
      <c r="B95" s="80"/>
      <c r="C95" s="80"/>
      <c r="D95" s="217"/>
      <c r="E95" s="217"/>
      <c r="F95" s="80"/>
      <c r="J95" s="119"/>
    </row>
    <row r="96" spans="2:10">
      <c r="B96" s="97" t="s">
        <v>571</v>
      </c>
      <c r="C96" s="97"/>
      <c r="D96" s="127" t="s">
        <v>531</v>
      </c>
      <c r="E96" s="96" t="s">
        <v>572</v>
      </c>
      <c r="F96" s="96" t="s">
        <v>538</v>
      </c>
      <c r="G96" s="96" t="s">
        <v>539</v>
      </c>
      <c r="I96" s="119"/>
    </row>
    <row r="97" spans="2:10">
      <c r="B97" s="97" t="s">
        <v>302</v>
      </c>
      <c r="C97" s="235" t="s">
        <v>573</v>
      </c>
      <c r="D97" s="218">
        <v>0.75</v>
      </c>
      <c r="E97" s="219">
        <v>1</v>
      </c>
      <c r="F97" s="219">
        <v>0.5</v>
      </c>
      <c r="G97" s="219">
        <v>0.5</v>
      </c>
      <c r="I97" s="119"/>
    </row>
    <row r="98" spans="2:10">
      <c r="B98" s="97" t="s">
        <v>303</v>
      </c>
      <c r="C98" s="235" t="s">
        <v>574</v>
      </c>
      <c r="D98" s="215">
        <v>0.25</v>
      </c>
      <c r="E98" s="219">
        <v>0.25</v>
      </c>
      <c r="F98" s="219">
        <v>0.1</v>
      </c>
      <c r="G98" s="219">
        <v>0.1</v>
      </c>
      <c r="I98" s="119"/>
    </row>
    <row r="99" spans="2:10" ht="21.75" customHeight="1">
      <c r="B99" s="361" t="s">
        <v>646</v>
      </c>
      <c r="C99" s="361"/>
      <c r="D99" s="361"/>
      <c r="E99" s="361"/>
      <c r="F99" s="361"/>
      <c r="G99" s="361"/>
      <c r="H99" s="239"/>
      <c r="I99" s="239"/>
      <c r="J99" s="119"/>
    </row>
    <row r="100" spans="2:10">
      <c r="B100" s="80"/>
      <c r="C100" s="80"/>
      <c r="D100" s="217"/>
      <c r="E100" s="217"/>
      <c r="F100" s="80"/>
      <c r="J100" s="119"/>
    </row>
    <row r="101" spans="2:10">
      <c r="B101" s="359" t="s">
        <v>575</v>
      </c>
      <c r="C101" s="360"/>
      <c r="D101" s="127" t="s">
        <v>531</v>
      </c>
      <c r="E101" s="96" t="s">
        <v>572</v>
      </c>
      <c r="F101" s="96" t="s">
        <v>538</v>
      </c>
      <c r="G101" s="96" t="s">
        <v>539</v>
      </c>
      <c r="H101" s="119"/>
    </row>
    <row r="102" spans="2:10">
      <c r="B102" s="97" t="s">
        <v>576</v>
      </c>
      <c r="C102" s="97" t="s">
        <v>577</v>
      </c>
      <c r="D102" s="218">
        <v>53.5</v>
      </c>
      <c r="E102" s="219">
        <v>82.5</v>
      </c>
      <c r="F102" s="219">
        <v>30.3</v>
      </c>
      <c r="G102" s="219">
        <v>164</v>
      </c>
      <c r="H102" s="119" t="s">
        <v>532</v>
      </c>
    </row>
    <row r="103" spans="2:10">
      <c r="B103" s="80"/>
      <c r="C103" s="80"/>
      <c r="D103" s="217"/>
      <c r="E103" s="217"/>
      <c r="F103" s="220"/>
      <c r="G103" s="75"/>
      <c r="H103" s="75"/>
      <c r="I103" s="75"/>
      <c r="J103" s="119"/>
    </row>
    <row r="104" spans="2:10">
      <c r="B104" s="357" t="s">
        <v>578</v>
      </c>
      <c r="C104" s="358"/>
      <c r="D104" s="127" t="s">
        <v>531</v>
      </c>
      <c r="E104" s="96" t="s">
        <v>572</v>
      </c>
      <c r="F104" s="96" t="s">
        <v>538</v>
      </c>
      <c r="G104" s="96" t="s">
        <v>539</v>
      </c>
      <c r="H104" s="119"/>
    </row>
    <row r="105" spans="2:10">
      <c r="B105" s="357" t="s">
        <v>579</v>
      </c>
      <c r="C105" s="358"/>
      <c r="D105" s="221">
        <v>3000</v>
      </c>
      <c r="E105" s="221">
        <v>3000</v>
      </c>
      <c r="F105" s="222">
        <v>900</v>
      </c>
      <c r="G105" s="221">
        <v>3000</v>
      </c>
      <c r="H105" s="119" t="s">
        <v>534</v>
      </c>
    </row>
    <row r="106" spans="2:10">
      <c r="B106" s="80"/>
      <c r="C106" s="80"/>
      <c r="D106" s="217"/>
      <c r="E106" s="217"/>
      <c r="F106" s="220"/>
      <c r="G106" s="75"/>
      <c r="H106" s="75"/>
      <c r="I106" s="75"/>
      <c r="J106" s="119"/>
    </row>
    <row r="107" spans="2:10">
      <c r="B107" s="97" t="s">
        <v>214</v>
      </c>
      <c r="C107" s="223">
        <f>E89*E91*E93+E90*E92*E94</f>
        <v>69.668493748676184</v>
      </c>
      <c r="D107" s="217" t="s">
        <v>532</v>
      </c>
      <c r="E107" s="223" t="s">
        <v>580</v>
      </c>
      <c r="F107" s="233">
        <f>D5+D12</f>
        <v>1852</v>
      </c>
      <c r="G107" s="122" t="s">
        <v>581</v>
      </c>
      <c r="H107" s="233">
        <f>D6+D13</f>
        <v>583</v>
      </c>
      <c r="I107" s="119" t="s">
        <v>305</v>
      </c>
    </row>
    <row r="108" spans="2:10" s="272" customFormat="1" ht="15" customHeight="1">
      <c r="B108" s="97" t="s">
        <v>855</v>
      </c>
      <c r="C108" s="223">
        <f>E89*E91*(100-34)/100*E93</f>
        <v>32.534107234532378</v>
      </c>
      <c r="D108" s="217" t="s">
        <v>532</v>
      </c>
      <c r="E108" s="223" t="s">
        <v>856</v>
      </c>
      <c r="F108" s="233">
        <f>D10</f>
        <v>1</v>
      </c>
      <c r="G108" s="122" t="s">
        <v>857</v>
      </c>
      <c r="H108" s="233">
        <f>D11</f>
        <v>0</v>
      </c>
      <c r="I108" s="273"/>
    </row>
    <row r="109" spans="2:10" s="272" customFormat="1" ht="15" customHeight="1">
      <c r="B109" s="97" t="s">
        <v>858</v>
      </c>
      <c r="C109" s="223">
        <f>E90*E92*(100-16)/100*E94</f>
        <v>17.114489177664971</v>
      </c>
      <c r="D109" s="217" t="s">
        <v>532</v>
      </c>
      <c r="E109" s="220"/>
      <c r="F109" s="75"/>
      <c r="G109" s="75"/>
      <c r="H109" s="75"/>
      <c r="I109" s="273"/>
    </row>
    <row r="110" spans="2:10">
      <c r="B110" s="80"/>
      <c r="C110" s="80"/>
      <c r="D110" s="217"/>
      <c r="E110" s="217"/>
      <c r="F110" s="220"/>
      <c r="G110" s="75"/>
      <c r="H110" s="75"/>
      <c r="I110" s="75"/>
      <c r="J110" s="119"/>
    </row>
    <row r="111" spans="2:10">
      <c r="B111" s="367" t="s">
        <v>582</v>
      </c>
      <c r="C111" s="367"/>
      <c r="D111" s="367"/>
      <c r="E111" s="120"/>
      <c r="F111" s="212"/>
      <c r="G111" s="80"/>
      <c r="H111" s="75"/>
      <c r="I111" s="75"/>
      <c r="J111" s="119"/>
    </row>
    <row r="112" spans="2:10">
      <c r="B112" s="117" t="s">
        <v>531</v>
      </c>
      <c r="C112" s="99" t="str">
        <f>IF(AND(D5+D12&lt;10,D4=1)=TRUE,1,"")</f>
        <v/>
      </c>
      <c r="D112" s="213" t="str">
        <f>IF(C112=1,D105,"")</f>
        <v/>
      </c>
      <c r="E112" s="73" t="s">
        <v>291</v>
      </c>
      <c r="H112" s="75"/>
      <c r="I112" s="75"/>
      <c r="J112" s="119"/>
    </row>
    <row r="113" spans="2:10">
      <c r="B113" s="117" t="s">
        <v>537</v>
      </c>
      <c r="C113" s="99" t="str">
        <f>IF(AND(D5+D12&lt;10,D4=2)=TRUE,1,"")</f>
        <v/>
      </c>
      <c r="D113" s="213" t="str">
        <f>IF(C113=1,E105,"")</f>
        <v/>
      </c>
      <c r="E113" s="73" t="s">
        <v>291</v>
      </c>
      <c r="H113" s="75"/>
      <c r="I113" s="75"/>
      <c r="J113" s="119"/>
    </row>
    <row r="114" spans="2:10">
      <c r="B114" s="117" t="s">
        <v>538</v>
      </c>
      <c r="C114" s="99" t="str">
        <f>IF(AND(D5+D12&lt;10,D4=3)=TRUE,1,"")</f>
        <v/>
      </c>
      <c r="D114" s="213" t="str">
        <f>IF(C114=1,F105,"")</f>
        <v/>
      </c>
      <c r="E114" s="73" t="s">
        <v>291</v>
      </c>
      <c r="H114" s="75"/>
      <c r="I114" s="75"/>
      <c r="J114" s="119"/>
    </row>
    <row r="115" spans="2:10">
      <c r="B115" s="117" t="s">
        <v>539</v>
      </c>
      <c r="C115" s="99" t="str">
        <f>IF(AND(D5+D12&lt;10,D4=4)=TRUE,1,"")</f>
        <v/>
      </c>
      <c r="D115" s="213" t="str">
        <f>IF(C115=1,G105,"")</f>
        <v/>
      </c>
      <c r="E115" s="73" t="s">
        <v>291</v>
      </c>
      <c r="H115" s="75"/>
      <c r="I115" s="75"/>
      <c r="J115" s="119"/>
    </row>
    <row r="116" spans="2:10">
      <c r="C116" s="73" t="s">
        <v>540</v>
      </c>
      <c r="D116" s="73"/>
      <c r="H116" s="75"/>
      <c r="I116" s="75"/>
      <c r="J116" s="119"/>
    </row>
    <row r="117" spans="2:10">
      <c r="B117" s="73" t="s">
        <v>583</v>
      </c>
      <c r="D117" s="73"/>
      <c r="F117" s="73" t="s">
        <v>859</v>
      </c>
      <c r="G117" s="75"/>
      <c r="H117" s="75"/>
      <c r="I117" s="75"/>
      <c r="J117" s="119"/>
    </row>
    <row r="118" spans="2:10">
      <c r="B118" s="117" t="s">
        <v>531</v>
      </c>
      <c r="C118" s="99" t="str">
        <f>IF(AND(D5+D12&gt;=10,D4=1)=TRUE,1,"")</f>
        <v/>
      </c>
      <c r="D118" s="213" t="str">
        <f>IF(C118=1,F107*C107*D97+H107*C107*D98+F107*D102+F118,"")</f>
        <v/>
      </c>
      <c r="E118" s="73" t="s">
        <v>291</v>
      </c>
      <c r="F118" s="122">
        <f>(F108*C108+H108*C109)*D97</f>
        <v>24.400580425899285</v>
      </c>
      <c r="G118" s="73" t="s">
        <v>291</v>
      </c>
      <c r="H118" s="75"/>
      <c r="I118" s="75"/>
      <c r="J118" s="119"/>
    </row>
    <row r="119" spans="2:10">
      <c r="B119" s="117" t="s">
        <v>537</v>
      </c>
      <c r="C119" s="99">
        <f>IF(AND(D5+D12&gt;=10,D4=2)=TRUE,1,"")</f>
        <v>1</v>
      </c>
      <c r="D119" s="213">
        <f>IF(C119=1,F107*C107*E97+H107*C107*E98+F107*E102+F119,"")</f>
        <v>292002.76749365235</v>
      </c>
      <c r="E119" s="73" t="s">
        <v>291</v>
      </c>
      <c r="F119" s="122">
        <f>(F108*C108+H108*C109)*E97</f>
        <v>32.534107234532378</v>
      </c>
      <c r="G119" s="73" t="s">
        <v>291</v>
      </c>
      <c r="H119" s="75"/>
      <c r="I119" s="75"/>
      <c r="J119" s="119"/>
    </row>
    <row r="120" spans="2:10">
      <c r="B120" s="117" t="s">
        <v>538</v>
      </c>
      <c r="C120" s="99" t="str">
        <f>IF(AND(D5+D12&gt;=10,D4=3)=TRUE,1,"")</f>
        <v/>
      </c>
      <c r="D120" s="213" t="str">
        <f>IF(C120=1,F107*C107*F97+H107*C107*F98+F107*F102+F120,"")</f>
        <v/>
      </c>
      <c r="E120" s="73" t="s">
        <v>291</v>
      </c>
      <c r="F120" s="122">
        <f>(F108*C108+H108*C109)*F97</f>
        <v>16.267053617266189</v>
      </c>
      <c r="G120" s="119" t="s">
        <v>291</v>
      </c>
      <c r="H120" s="75"/>
      <c r="I120" s="75"/>
      <c r="J120" s="119"/>
    </row>
    <row r="121" spans="2:10">
      <c r="B121" s="117" t="s">
        <v>539</v>
      </c>
      <c r="C121" s="99" t="str">
        <f>IF(AND(D5+D12&gt;=10,D4=4)=TRUE,1,"")</f>
        <v/>
      </c>
      <c r="D121" s="213" t="str">
        <f>IF(C121=1,F107*C107*G97+H107*C107*G98+F107*G102+F121,"")</f>
        <v/>
      </c>
      <c r="E121" s="73" t="s">
        <v>291</v>
      </c>
      <c r="F121" s="122">
        <f>(F108*C108+H108*C109)*G97</f>
        <v>16.267053617266189</v>
      </c>
      <c r="G121" s="119" t="s">
        <v>291</v>
      </c>
      <c r="H121" s="75"/>
      <c r="I121" s="75"/>
      <c r="J121" s="119"/>
    </row>
    <row r="122" spans="2:10">
      <c r="C122" s="73" t="s">
        <v>540</v>
      </c>
      <c r="D122" s="73"/>
      <c r="F122" s="224"/>
      <c r="H122" s="75"/>
      <c r="I122" s="75"/>
      <c r="J122" s="119"/>
    </row>
    <row r="123" spans="2:10">
      <c r="D123" s="73"/>
      <c r="F123" s="224"/>
      <c r="H123" s="75"/>
      <c r="I123" s="75"/>
      <c r="J123" s="119"/>
    </row>
    <row r="124" spans="2:10">
      <c r="B124" s="105" t="s">
        <v>584</v>
      </c>
      <c r="C124" s="132">
        <f>ROUNDUP(VLOOKUP(1,C112:D121,2),-2)</f>
        <v>292100</v>
      </c>
      <c r="D124" s="73" t="s">
        <v>291</v>
      </c>
      <c r="H124" s="75"/>
      <c r="I124" s="75"/>
      <c r="J124" s="119"/>
    </row>
    <row r="125" spans="2:10">
      <c r="D125" s="73"/>
      <c r="F125" s="224"/>
      <c r="H125" s="75"/>
      <c r="I125" s="75"/>
      <c r="J125" s="119"/>
    </row>
    <row r="126" spans="2:10">
      <c r="B126" s="237" t="s">
        <v>585</v>
      </c>
      <c r="C126" s="127" t="s">
        <v>586</v>
      </c>
      <c r="D126" s="127" t="s">
        <v>587</v>
      </c>
      <c r="E126" s="96" t="s">
        <v>572</v>
      </c>
      <c r="F126" s="96" t="s">
        <v>538</v>
      </c>
      <c r="G126" s="96" t="s">
        <v>539</v>
      </c>
      <c r="J126" s="119"/>
    </row>
    <row r="127" spans="2:10">
      <c r="B127" s="237" t="s">
        <v>588</v>
      </c>
      <c r="C127" s="127">
        <f>C124*E93</f>
        <v>260553.2</v>
      </c>
      <c r="D127" s="127">
        <f>C124*E94</f>
        <v>31546.799999999999</v>
      </c>
      <c r="E127" s="238">
        <f>C124</f>
        <v>292100</v>
      </c>
      <c r="F127" s="238">
        <f>C124</f>
        <v>292100</v>
      </c>
      <c r="G127" s="225">
        <f>C124</f>
        <v>292100</v>
      </c>
      <c r="J127" s="119"/>
    </row>
    <row r="128" spans="2:10">
      <c r="B128" s="236" t="s">
        <v>283</v>
      </c>
      <c r="C128" s="226">
        <v>0.18</v>
      </c>
      <c r="D128" s="226">
        <v>0</v>
      </c>
      <c r="E128" s="226">
        <v>0.05</v>
      </c>
      <c r="F128" s="227">
        <v>8.5999999999999993E-2</v>
      </c>
      <c r="G128" s="228">
        <v>2.4E-2</v>
      </c>
      <c r="J128" s="119"/>
    </row>
    <row r="129" spans="2:10">
      <c r="B129" s="236" t="s">
        <v>284</v>
      </c>
      <c r="C129" s="229">
        <v>0.01</v>
      </c>
      <c r="D129" s="229">
        <v>0.02</v>
      </c>
      <c r="E129" s="229">
        <v>0.17</v>
      </c>
      <c r="F129" s="227">
        <v>8.5000000000000006E-2</v>
      </c>
      <c r="G129" s="228">
        <v>5.7000000000000002E-2</v>
      </c>
      <c r="J129" s="119"/>
    </row>
    <row r="130" spans="2:10">
      <c r="B130" s="236" t="s">
        <v>285</v>
      </c>
      <c r="C130" s="229">
        <v>0.26</v>
      </c>
      <c r="D130" s="229">
        <v>0</v>
      </c>
      <c r="E130" s="229">
        <v>0.3</v>
      </c>
      <c r="F130" s="227">
        <v>0.21299999999999999</v>
      </c>
      <c r="G130" s="228">
        <v>0.03</v>
      </c>
      <c r="J130" s="119"/>
    </row>
    <row r="131" spans="2:10">
      <c r="B131" s="236" t="s">
        <v>286</v>
      </c>
      <c r="C131" s="229">
        <v>0.51</v>
      </c>
      <c r="D131" s="229">
        <v>0.93</v>
      </c>
      <c r="E131" s="229">
        <v>0.41</v>
      </c>
      <c r="F131" s="227">
        <v>0.3</v>
      </c>
      <c r="G131" s="228">
        <v>3.2000000000000001E-2</v>
      </c>
      <c r="J131" s="119"/>
    </row>
    <row r="132" spans="2:10">
      <c r="B132" s="236" t="s">
        <v>287</v>
      </c>
      <c r="C132" s="229">
        <v>0.01</v>
      </c>
      <c r="D132" s="229">
        <v>0.03</v>
      </c>
      <c r="E132" s="227">
        <v>0.03</v>
      </c>
      <c r="F132" s="227">
        <v>1.4E-2</v>
      </c>
      <c r="G132" s="228">
        <v>3.0000000000000001E-3</v>
      </c>
      <c r="J132" s="119"/>
    </row>
    <row r="133" spans="2:10">
      <c r="B133" s="105" t="s">
        <v>288</v>
      </c>
      <c r="C133" s="229">
        <v>0.03</v>
      </c>
      <c r="D133" s="229">
        <v>0.02</v>
      </c>
      <c r="E133" s="227">
        <v>0.04</v>
      </c>
      <c r="F133" s="227">
        <v>1.2E-2</v>
      </c>
      <c r="G133" s="228">
        <v>0.14899999999999999</v>
      </c>
      <c r="J133" s="119"/>
    </row>
    <row r="134" spans="2:10">
      <c r="B134" s="105" t="s">
        <v>304</v>
      </c>
      <c r="C134" s="210" t="s">
        <v>589</v>
      </c>
      <c r="D134" s="210" t="s">
        <v>589</v>
      </c>
      <c r="E134" s="210" t="s">
        <v>589</v>
      </c>
      <c r="F134" s="227">
        <v>0.28999999999999998</v>
      </c>
      <c r="G134" s="228">
        <v>0.70499999999999996</v>
      </c>
    </row>
    <row r="135" spans="2:10">
      <c r="B135" s="105" t="s">
        <v>590</v>
      </c>
      <c r="C135" s="362" t="s">
        <v>591</v>
      </c>
      <c r="D135" s="363"/>
      <c r="E135" s="230" t="s">
        <v>592</v>
      </c>
      <c r="F135" s="96" t="s">
        <v>593</v>
      </c>
      <c r="G135" s="96" t="s">
        <v>594</v>
      </c>
    </row>
    <row r="136" spans="2:10">
      <c r="D136" s="73"/>
    </row>
    <row r="137" spans="2:10">
      <c r="B137" s="366" t="s">
        <v>595</v>
      </c>
      <c r="C137" s="366"/>
      <c r="D137" s="366"/>
      <c r="E137" s="122">
        <f>D14*0.024</f>
        <v>417705.60000000003</v>
      </c>
    </row>
    <row r="138" spans="2:10">
      <c r="D138" s="73"/>
    </row>
    <row r="139" spans="2:10">
      <c r="B139" s="237" t="s">
        <v>585</v>
      </c>
      <c r="C139" s="127" t="s">
        <v>531</v>
      </c>
      <c r="D139" s="96" t="s">
        <v>572</v>
      </c>
      <c r="E139" s="96" t="s">
        <v>538</v>
      </c>
      <c r="F139" s="96" t="s">
        <v>539</v>
      </c>
    </row>
    <row r="140" spans="2:10">
      <c r="B140" s="231"/>
      <c r="C140" s="127">
        <v>1</v>
      </c>
      <c r="D140" s="96">
        <v>2</v>
      </c>
      <c r="E140" s="96">
        <v>3</v>
      </c>
      <c r="F140" s="96">
        <v>4</v>
      </c>
    </row>
    <row r="141" spans="2:10">
      <c r="B141" s="236" t="s">
        <v>283</v>
      </c>
      <c r="C141" s="76">
        <f>C$127*C128+D$127*D128</f>
        <v>46899.576000000001</v>
      </c>
      <c r="D141" s="76">
        <f>E$127*E128</f>
        <v>14605</v>
      </c>
      <c r="E141" s="76">
        <f>F$127*F128</f>
        <v>25120.6</v>
      </c>
      <c r="F141" s="76">
        <f>G$127*G128</f>
        <v>7010.4000000000005</v>
      </c>
      <c r="G141" s="73" t="s">
        <v>291</v>
      </c>
    </row>
    <row r="142" spans="2:10">
      <c r="B142" s="236" t="s">
        <v>284</v>
      </c>
      <c r="C142" s="76">
        <f t="shared" ref="C142:C146" si="1">C$127*C129+D$127*D129</f>
        <v>3236.4680000000003</v>
      </c>
      <c r="D142" s="76">
        <f t="shared" ref="D142:F146" si="2">E$127*E129</f>
        <v>49657</v>
      </c>
      <c r="E142" s="76">
        <f t="shared" si="2"/>
        <v>24828.5</v>
      </c>
      <c r="F142" s="76">
        <f t="shared" si="2"/>
        <v>16649.7</v>
      </c>
      <c r="G142" s="73" t="s">
        <v>291</v>
      </c>
    </row>
    <row r="143" spans="2:10">
      <c r="B143" s="236" t="s">
        <v>285</v>
      </c>
      <c r="C143" s="76">
        <f t="shared" si="1"/>
        <v>67743.832000000009</v>
      </c>
      <c r="D143" s="76">
        <f t="shared" si="2"/>
        <v>87630</v>
      </c>
      <c r="E143" s="76">
        <f t="shared" si="2"/>
        <v>62217.299999999996</v>
      </c>
      <c r="F143" s="76">
        <f t="shared" si="2"/>
        <v>8763</v>
      </c>
      <c r="G143" s="73" t="s">
        <v>291</v>
      </c>
    </row>
    <row r="144" spans="2:10">
      <c r="B144" s="236" t="s">
        <v>286</v>
      </c>
      <c r="C144" s="76">
        <f t="shared" si="1"/>
        <v>162220.65600000002</v>
      </c>
      <c r="D144" s="76">
        <f t="shared" si="2"/>
        <v>119761</v>
      </c>
      <c r="E144" s="76">
        <f t="shared" si="2"/>
        <v>87630</v>
      </c>
      <c r="F144" s="76">
        <f t="shared" si="2"/>
        <v>9347.2000000000007</v>
      </c>
      <c r="G144" s="73" t="s">
        <v>291</v>
      </c>
    </row>
    <row r="145" spans="2:10">
      <c r="B145" s="236" t="s">
        <v>287</v>
      </c>
      <c r="C145" s="76">
        <f t="shared" si="1"/>
        <v>3551.9360000000001</v>
      </c>
      <c r="D145" s="76">
        <f t="shared" si="2"/>
        <v>8763</v>
      </c>
      <c r="E145" s="76">
        <f t="shared" si="2"/>
        <v>4089.4</v>
      </c>
      <c r="F145" s="76">
        <f t="shared" si="2"/>
        <v>876.30000000000007</v>
      </c>
      <c r="G145" s="73" t="s">
        <v>291</v>
      </c>
    </row>
    <row r="146" spans="2:10">
      <c r="B146" s="105" t="s">
        <v>288</v>
      </c>
      <c r="C146" s="76">
        <f t="shared" si="1"/>
        <v>8447.5320000000011</v>
      </c>
      <c r="D146" s="76">
        <f t="shared" si="2"/>
        <v>11684</v>
      </c>
      <c r="E146" s="76">
        <f t="shared" si="2"/>
        <v>3505.2000000000003</v>
      </c>
      <c r="F146" s="76">
        <f t="shared" si="2"/>
        <v>43522.9</v>
      </c>
      <c r="G146" s="73" t="s">
        <v>291</v>
      </c>
    </row>
    <row r="147" spans="2:10">
      <c r="B147" s="105" t="s">
        <v>304</v>
      </c>
      <c r="C147" s="121">
        <v>0</v>
      </c>
      <c r="D147" s="121">
        <f>E137</f>
        <v>417705.60000000003</v>
      </c>
      <c r="E147" s="76">
        <f t="shared" ref="E147:F147" si="3">F$127*F134</f>
        <v>84709</v>
      </c>
      <c r="F147" s="76">
        <f t="shared" si="3"/>
        <v>205930.5</v>
      </c>
      <c r="G147" s="73" t="s">
        <v>291</v>
      </c>
    </row>
    <row r="148" spans="2:10">
      <c r="B148" s="105" t="s">
        <v>306</v>
      </c>
      <c r="C148" s="76">
        <f>SUM(C141:C146)</f>
        <v>292100</v>
      </c>
      <c r="D148" s="76">
        <f t="shared" ref="D148" si="4">SUM(D141:D146)</f>
        <v>292100</v>
      </c>
      <c r="E148" s="76">
        <f>SUM(E141:E147)</f>
        <v>292100</v>
      </c>
      <c r="F148" s="76">
        <f>SUM(F141:F147)</f>
        <v>292100</v>
      </c>
      <c r="G148" s="73" t="s">
        <v>291</v>
      </c>
    </row>
    <row r="149" spans="2:10">
      <c r="D149" s="73"/>
    </row>
    <row r="150" spans="2:10">
      <c r="B150" s="73" t="s">
        <v>596</v>
      </c>
      <c r="D150" s="73"/>
    </row>
    <row r="151" spans="2:10">
      <c r="B151" s="236" t="s">
        <v>283</v>
      </c>
      <c r="C151" s="76">
        <f>HLOOKUP($D$4,$C$140:$F$147,2)</f>
        <v>14605</v>
      </c>
      <c r="D151" s="73" t="s">
        <v>291</v>
      </c>
    </row>
    <row r="152" spans="2:10">
      <c r="B152" s="236" t="s">
        <v>284</v>
      </c>
      <c r="C152" s="76">
        <f>HLOOKUP($D$4,$C$140:$F$147,3)</f>
        <v>49657</v>
      </c>
      <c r="D152" s="73" t="s">
        <v>291</v>
      </c>
    </row>
    <row r="153" spans="2:10">
      <c r="B153" s="236" t="s">
        <v>285</v>
      </c>
      <c r="C153" s="76">
        <f>HLOOKUP($D$4,$C$140:$F$147,4)</f>
        <v>87630</v>
      </c>
      <c r="D153" s="73" t="s">
        <v>291</v>
      </c>
    </row>
    <row r="154" spans="2:10">
      <c r="B154" s="236" t="s">
        <v>286</v>
      </c>
      <c r="C154" s="76">
        <f>HLOOKUP($D$4,$C$140:$F$147,5)</f>
        <v>119761</v>
      </c>
      <c r="D154" s="73" t="s">
        <v>291</v>
      </c>
    </row>
    <row r="155" spans="2:10">
      <c r="B155" s="236" t="s">
        <v>287</v>
      </c>
      <c r="C155" s="76">
        <f>HLOOKUP($D$4,$C$140:$F$147,6)</f>
        <v>8763</v>
      </c>
      <c r="D155" s="73" t="s">
        <v>291</v>
      </c>
    </row>
    <row r="156" spans="2:10">
      <c r="B156" s="105" t="s">
        <v>288</v>
      </c>
      <c r="C156" s="76">
        <f>HLOOKUP($D$4,$C$140:$F$147,7)</f>
        <v>11684</v>
      </c>
      <c r="D156" s="73" t="s">
        <v>291</v>
      </c>
    </row>
    <row r="157" spans="2:10">
      <c r="B157" s="105" t="str">
        <f>IF(D4=2,"津波堆積物","土砂")</f>
        <v>津波堆積物</v>
      </c>
      <c r="C157" s="76">
        <f>HLOOKUP($D$4,$C$140:$F$147,8)</f>
        <v>417705.60000000003</v>
      </c>
      <c r="D157" s="73" t="s">
        <v>291</v>
      </c>
      <c r="G157" s="232"/>
    </row>
    <row r="158" spans="2:10">
      <c r="D158" s="131"/>
    </row>
    <row r="159" spans="2:10">
      <c r="B159" s="73" t="s">
        <v>402</v>
      </c>
      <c r="D159" s="133"/>
      <c r="H159" s="124"/>
      <c r="I159" s="124"/>
      <c r="J159" s="125"/>
    </row>
    <row r="160" spans="2:10">
      <c r="B160" s="362" t="s">
        <v>597</v>
      </c>
      <c r="C160" s="363"/>
      <c r="D160" s="76">
        <f>D17*D18</f>
        <v>1640</v>
      </c>
      <c r="E160" s="80"/>
      <c r="F160" s="73" t="s">
        <v>659</v>
      </c>
    </row>
    <row r="161" spans="2:8">
      <c r="B161" s="362" t="s">
        <v>654</v>
      </c>
      <c r="C161" s="363"/>
      <c r="D161" s="76">
        <f>D160-D19</f>
        <v>492</v>
      </c>
      <c r="F161" s="73" t="s">
        <v>485</v>
      </c>
      <c r="G161" s="80">
        <f>ROUNDDOWN(D161*D29,-2)</f>
        <v>1300</v>
      </c>
      <c r="H161" s="73" t="s">
        <v>656</v>
      </c>
    </row>
    <row r="162" spans="2:8">
      <c r="B162" s="362" t="s">
        <v>598</v>
      </c>
      <c r="C162" s="363"/>
      <c r="D162" s="100">
        <f>し尿避難所ごみ!C73</f>
        <v>4.0392000000000001</v>
      </c>
      <c r="E162" s="80"/>
      <c r="F162" s="73" t="s">
        <v>486</v>
      </c>
      <c r="G162" s="73">
        <f>ROUNDDOWN(G161*D20/D19,-2)</f>
        <v>0</v>
      </c>
    </row>
    <row r="163" spans="2:8">
      <c r="B163" s="362" t="s">
        <v>655</v>
      </c>
      <c r="C163" s="363"/>
      <c r="D163" s="76">
        <f>G161-(C152+D162*365*D29)</f>
        <v>-52337.631600000001</v>
      </c>
      <c r="F163" s="73" t="s">
        <v>660</v>
      </c>
      <c r="G163" s="73" t="e">
        <f>ROUNDDOWN(G161*D21/100,-2)</f>
        <v>#VALUE!</v>
      </c>
    </row>
    <row r="164" spans="2:8">
      <c r="B164" s="362" t="s">
        <v>509</v>
      </c>
      <c r="C164" s="363"/>
      <c r="D164" s="76">
        <f>D163*IF(ISNUMBER(D21)=TRUE,D21/100,D20/D19)</f>
        <v>0</v>
      </c>
      <c r="F164" s="73">
        <f>IF(D16="共同",IF(ISNUMBER(D21)=TRUE,G163,G162),G161)</f>
        <v>1300</v>
      </c>
    </row>
    <row r="165" spans="2:8">
      <c r="D165" s="133"/>
      <c r="E165" s="124"/>
      <c r="G165" s="125"/>
    </row>
    <row r="166" spans="2:8">
      <c r="B166" s="73" t="s">
        <v>426</v>
      </c>
      <c r="D166" s="133"/>
      <c r="E166" s="124"/>
      <c r="F166" s="124"/>
      <c r="G166" s="124"/>
      <c r="H166" s="125"/>
    </row>
    <row r="167" spans="2:8" ht="13.5">
      <c r="B167" s="350" t="s">
        <v>545</v>
      </c>
      <c r="C167" s="351"/>
      <c r="D167" s="352"/>
      <c r="E167" s="199">
        <v>1.5</v>
      </c>
    </row>
    <row r="168" spans="2:8">
      <c r="B168" s="350" t="s">
        <v>420</v>
      </c>
      <c r="C168" s="351"/>
      <c r="D168" s="352"/>
      <c r="E168" s="112">
        <v>0.66666666666666663</v>
      </c>
      <c r="F168" s="73" t="s">
        <v>605</v>
      </c>
    </row>
    <row r="169" spans="2:8" ht="13.5">
      <c r="B169" s="350" t="s">
        <v>546</v>
      </c>
      <c r="C169" s="351"/>
      <c r="D169" s="352"/>
      <c r="E169" s="76">
        <f>D25</f>
        <v>259</v>
      </c>
      <c r="F169" s="73" t="s">
        <v>421</v>
      </c>
    </row>
    <row r="170" spans="2:8">
      <c r="B170" s="350" t="s">
        <v>424</v>
      </c>
      <c r="C170" s="351"/>
      <c r="D170" s="352"/>
      <c r="E170" s="76">
        <f>D24</f>
        <v>30342</v>
      </c>
      <c r="F170" s="73" t="s">
        <v>422</v>
      </c>
    </row>
    <row r="171" spans="2:8">
      <c r="B171" s="350" t="s">
        <v>432</v>
      </c>
      <c r="C171" s="351"/>
      <c r="D171" s="352"/>
      <c r="E171" s="76">
        <f>D26</f>
        <v>0</v>
      </c>
      <c r="F171" s="73" t="s">
        <v>423</v>
      </c>
    </row>
    <row r="172" spans="2:8">
      <c r="B172" s="350" t="s">
        <v>398</v>
      </c>
      <c r="C172" s="351"/>
      <c r="D172" s="352"/>
      <c r="E172" s="100" t="str">
        <f>D27</f>
        <v>-</v>
      </c>
      <c r="F172" s="80" t="s">
        <v>401</v>
      </c>
    </row>
    <row r="173" spans="2:8">
      <c r="B173" s="350" t="s">
        <v>425</v>
      </c>
      <c r="C173" s="351"/>
      <c r="D173" s="352"/>
      <c r="E173" s="76">
        <f>E170-E169*10</f>
        <v>27752</v>
      </c>
    </row>
    <row r="174" spans="2:8">
      <c r="B174" s="350" t="s">
        <v>431</v>
      </c>
      <c r="C174" s="351"/>
      <c r="D174" s="352"/>
      <c r="E174" s="76">
        <f>E173*E168*E167</f>
        <v>27752</v>
      </c>
    </row>
    <row r="175" spans="2:8">
      <c r="B175" s="353" t="s">
        <v>430</v>
      </c>
      <c r="C175" s="354"/>
      <c r="D175" s="355"/>
      <c r="E175" s="76" t="e">
        <f>E173*IF(ISNUMBER(D27)=TRUE,D27/100,D27/D25)</f>
        <v>#VALUE!</v>
      </c>
    </row>
    <row r="176" spans="2:8">
      <c r="D176" s="133"/>
    </row>
    <row r="177" spans="2:7">
      <c r="D177" s="133"/>
      <c r="E177" s="73" t="s">
        <v>659</v>
      </c>
    </row>
    <row r="178" spans="2:7">
      <c r="D178" s="133"/>
      <c r="E178" s="73" t="s">
        <v>485</v>
      </c>
      <c r="F178" s="258">
        <f>ROUNDDOWN(E174,-2)</f>
        <v>27700</v>
      </c>
      <c r="G178" s="73" t="s">
        <v>656</v>
      </c>
    </row>
    <row r="179" spans="2:7">
      <c r="D179" s="133"/>
      <c r="E179" s="73" t="s">
        <v>486</v>
      </c>
      <c r="F179" s="73">
        <f>ROUNDDOWN(F178*D26/D25,-2)</f>
        <v>0</v>
      </c>
    </row>
    <row r="180" spans="2:7">
      <c r="D180" s="133"/>
      <c r="E180" s="73" t="s">
        <v>660</v>
      </c>
      <c r="F180" s="73" t="e">
        <f>ROUNDDOWN(F178*D27/100,-2)</f>
        <v>#VALUE!</v>
      </c>
    </row>
    <row r="181" spans="2:7">
      <c r="D181" s="133"/>
      <c r="E181" s="73">
        <f>IF(D23="共同",IF(ISNUMBER(D27)=TRUE,F180,F179),F178)</f>
        <v>27700</v>
      </c>
    </row>
    <row r="182" spans="2:7">
      <c r="D182" s="133"/>
    </row>
    <row r="183" spans="2:7">
      <c r="D183" s="133"/>
    </row>
    <row r="184" spans="2:7">
      <c r="D184" s="133"/>
    </row>
    <row r="185" spans="2:7" ht="18.75">
      <c r="B185" s="91" t="s">
        <v>670</v>
      </c>
      <c r="C185" s="91" t="s">
        <v>671</v>
      </c>
      <c r="D185" s="91" t="s">
        <v>672</v>
      </c>
      <c r="E185" s="91" t="s">
        <v>673</v>
      </c>
    </row>
    <row r="186" spans="2:7" ht="18.75">
      <c r="B186" s="91" t="s">
        <v>668</v>
      </c>
      <c r="C186" s="265">
        <v>110.52489208633094</v>
      </c>
      <c r="D186" s="265">
        <v>157.20981387478849</v>
      </c>
      <c r="E186" s="91"/>
    </row>
    <row r="187" spans="2:7" ht="18.75">
      <c r="B187" s="91" t="s">
        <v>674</v>
      </c>
      <c r="C187" s="265">
        <v>94.392693341768151</v>
      </c>
      <c r="D187" s="265">
        <v>166.66221851542952</v>
      </c>
      <c r="E187" s="91"/>
    </row>
    <row r="188" spans="2:7" ht="18.75">
      <c r="B188" s="91" t="s">
        <v>675</v>
      </c>
      <c r="C188" s="265">
        <v>110.21694807263459</v>
      </c>
      <c r="D188" s="265">
        <v>205.34012539184954</v>
      </c>
      <c r="E188" s="91"/>
    </row>
    <row r="189" spans="2:7" ht="18.75">
      <c r="B189" s="91" t="s">
        <v>676</v>
      </c>
      <c r="C189" s="265">
        <v>108.94922302473189</v>
      </c>
      <c r="D189" s="265">
        <v>168.29173333333333</v>
      </c>
      <c r="E189" s="91"/>
    </row>
    <row r="190" spans="2:7" ht="18.75">
      <c r="B190" s="91" t="s">
        <v>677</v>
      </c>
      <c r="C190" s="265">
        <v>98.593229446534124</v>
      </c>
      <c r="D190" s="265">
        <v>174.09063893016344</v>
      </c>
      <c r="E190" s="91"/>
    </row>
    <row r="191" spans="2:7" ht="18.75">
      <c r="B191" s="91" t="s">
        <v>678</v>
      </c>
      <c r="C191" s="265">
        <v>124.2849569082519</v>
      </c>
      <c r="D191" s="265">
        <v>166.33400977947855</v>
      </c>
      <c r="E191" s="91"/>
    </row>
    <row r="192" spans="2:7" ht="18.75">
      <c r="B192" s="91" t="s">
        <v>679</v>
      </c>
      <c r="C192" s="265">
        <v>93.677461602571739</v>
      </c>
      <c r="D192" s="265">
        <v>90.398761751891769</v>
      </c>
      <c r="E192" s="91"/>
    </row>
    <row r="193" spans="2:5" ht="18.75">
      <c r="B193" s="91" t="s">
        <v>680</v>
      </c>
      <c r="C193" s="265">
        <v>151.69979767324227</v>
      </c>
      <c r="D193" s="265">
        <v>243.70301475304683</v>
      </c>
      <c r="E193" s="91"/>
    </row>
    <row r="194" spans="2:5" ht="18.75">
      <c r="B194" s="91" t="s">
        <v>681</v>
      </c>
      <c r="C194" s="265">
        <v>113.56316545041273</v>
      </c>
      <c r="D194" s="265">
        <v>191.29648833372613</v>
      </c>
      <c r="E194" s="91"/>
    </row>
    <row r="195" spans="2:5" ht="18.75">
      <c r="B195" s="91" t="s">
        <v>682</v>
      </c>
      <c r="C195" s="265">
        <v>112.36155129274395</v>
      </c>
      <c r="D195" s="265">
        <v>120.20406681190995</v>
      </c>
      <c r="E195" s="91"/>
    </row>
    <row r="196" spans="2:5" ht="18.75">
      <c r="B196" s="91" t="s">
        <v>683</v>
      </c>
      <c r="C196" s="265">
        <v>98.033742331288337</v>
      </c>
      <c r="D196" s="265">
        <v>104.71045197740114</v>
      </c>
      <c r="E196" s="91"/>
    </row>
    <row r="197" spans="2:5" ht="18.75">
      <c r="B197" s="91" t="s">
        <v>684</v>
      </c>
      <c r="C197" s="265">
        <v>114.6126582278481</v>
      </c>
      <c r="D197" s="265">
        <v>238.60633484162895</v>
      </c>
      <c r="E197" s="91"/>
    </row>
    <row r="198" spans="2:5" ht="18.75">
      <c r="B198" s="91" t="s">
        <v>685</v>
      </c>
      <c r="C198" s="265">
        <v>113.06144872490505</v>
      </c>
      <c r="D198" s="265">
        <v>248.7260606060606</v>
      </c>
      <c r="E198" s="91"/>
    </row>
    <row r="199" spans="2:5" ht="18.75">
      <c r="B199" s="91" t="s">
        <v>686</v>
      </c>
      <c r="C199" s="265">
        <v>120.09519168291098</v>
      </c>
      <c r="D199" s="265">
        <v>282.202786377709</v>
      </c>
      <c r="E199" s="91"/>
    </row>
    <row r="200" spans="2:5" ht="18.75">
      <c r="B200" s="91" t="s">
        <v>687</v>
      </c>
      <c r="C200" s="265">
        <v>150.12659235668789</v>
      </c>
      <c r="D200" s="265">
        <v>313.09074410163339</v>
      </c>
      <c r="E200" s="91"/>
    </row>
    <row r="201" spans="2:5" ht="18.75">
      <c r="B201" s="91" t="s">
        <v>688</v>
      </c>
      <c r="C201" s="265">
        <v>108.16493443419135</v>
      </c>
      <c r="D201" s="265">
        <v>262.06102835175398</v>
      </c>
      <c r="E201" s="91"/>
    </row>
    <row r="202" spans="2:5" ht="18.75">
      <c r="B202" s="91" t="s">
        <v>689</v>
      </c>
      <c r="C202" s="265">
        <v>121.4122085048011</v>
      </c>
      <c r="D202" s="265">
        <v>266.59090909090907</v>
      </c>
      <c r="E202" s="91"/>
    </row>
    <row r="203" spans="2:5" ht="18.75">
      <c r="B203" s="91" t="s">
        <v>690</v>
      </c>
      <c r="C203" s="265">
        <v>97.92275196137598</v>
      </c>
      <c r="D203" s="265">
        <v>259.15189873417722</v>
      </c>
      <c r="E203" s="91"/>
    </row>
    <row r="204" spans="2:5" ht="18.75">
      <c r="B204" s="91" t="s">
        <v>691</v>
      </c>
      <c r="C204" s="265">
        <v>108.69237472766885</v>
      </c>
      <c r="D204" s="265">
        <v>163.85207100591717</v>
      </c>
      <c r="E204" s="91"/>
    </row>
    <row r="205" spans="2:5" ht="18.75">
      <c r="B205" s="91" t="s">
        <v>692</v>
      </c>
      <c r="C205" s="265">
        <v>92.58456973293768</v>
      </c>
      <c r="D205" s="265">
        <v>157.28461538461539</v>
      </c>
      <c r="E205" s="91"/>
    </row>
    <row r="206" spans="2:5" ht="18.75">
      <c r="B206" s="91" t="s">
        <v>693</v>
      </c>
      <c r="C206" s="265">
        <v>114.56359519059686</v>
      </c>
      <c r="D206" s="265">
        <v>257.08743369306751</v>
      </c>
      <c r="E206" s="91"/>
    </row>
    <row r="207" spans="2:5" ht="18.75">
      <c r="B207" s="91" t="s">
        <v>694</v>
      </c>
      <c r="C207" s="265">
        <v>124.68929198361614</v>
      </c>
      <c r="D207" s="265">
        <v>248.01818181818183</v>
      </c>
      <c r="E207" s="91"/>
    </row>
    <row r="208" spans="2:5" ht="18.75">
      <c r="B208" s="91" t="s">
        <v>695</v>
      </c>
      <c r="C208" s="265">
        <v>93.461468721668183</v>
      </c>
      <c r="D208" s="265">
        <v>231.37172774869109</v>
      </c>
      <c r="E208" s="91"/>
    </row>
    <row r="209" spans="2:5" ht="18.75">
      <c r="B209" s="91" t="s">
        <v>696</v>
      </c>
      <c r="C209" s="265">
        <v>113.19871353089823</v>
      </c>
      <c r="D209" s="265">
        <v>231.0927440403689</v>
      </c>
      <c r="E209" s="91"/>
    </row>
    <row r="210" spans="2:5" ht="18.75">
      <c r="B210" s="91" t="s">
        <v>697</v>
      </c>
      <c r="C210" s="265">
        <v>124.11847011952192</v>
      </c>
      <c r="D210" s="265">
        <v>303.81188690132717</v>
      </c>
      <c r="E210" s="91"/>
    </row>
    <row r="211" spans="2:5" ht="18.75">
      <c r="B211" s="91" t="s">
        <v>698</v>
      </c>
      <c r="C211" s="265">
        <v>113.4886630179828</v>
      </c>
      <c r="D211" s="265">
        <v>250.928</v>
      </c>
      <c r="E211" s="91"/>
    </row>
    <row r="212" spans="2:5" ht="18.75">
      <c r="B212" s="91" t="s">
        <v>699</v>
      </c>
      <c r="C212" s="265">
        <v>113.49433656957929</v>
      </c>
      <c r="D212" s="265">
        <v>252.79322033898305</v>
      </c>
      <c r="E212" s="91"/>
    </row>
    <row r="213" spans="2:5" ht="18.75">
      <c r="B213" s="91" t="s">
        <v>700</v>
      </c>
      <c r="C213" s="265">
        <v>113.69245283018869</v>
      </c>
      <c r="D213" s="265">
        <v>217.30813953488371</v>
      </c>
      <c r="E213" s="91"/>
    </row>
    <row r="214" spans="2:5" ht="18.75">
      <c r="B214" s="91" t="s">
        <v>701</v>
      </c>
      <c r="C214" s="265">
        <v>109.07389606488435</v>
      </c>
      <c r="D214" s="265">
        <v>201.53306122448978</v>
      </c>
      <c r="E214" s="91"/>
    </row>
    <row r="215" spans="2:5" ht="18.75">
      <c r="B215" s="91" t="s">
        <v>702</v>
      </c>
      <c r="C215" s="265">
        <v>113.01438569206843</v>
      </c>
      <c r="D215" s="265">
        <v>210.546875</v>
      </c>
      <c r="E215" s="91"/>
    </row>
    <row r="216" spans="2:5" ht="18.75">
      <c r="B216" s="91" t="s">
        <v>703</v>
      </c>
      <c r="C216" s="265">
        <v>134.55350553505534</v>
      </c>
      <c r="D216" s="265">
        <v>287.8474383301708</v>
      </c>
      <c r="E216" s="91"/>
    </row>
    <row r="217" spans="2:5" ht="18.75">
      <c r="B217" s="91" t="s">
        <v>704</v>
      </c>
      <c r="C217" s="265">
        <v>121.07587943780973</v>
      </c>
      <c r="D217" s="265">
        <v>443.53249355854564</v>
      </c>
      <c r="E217" s="91"/>
    </row>
    <row r="218" spans="2:5" ht="18.75">
      <c r="B218" s="91" t="s">
        <v>705</v>
      </c>
      <c r="C218" s="265">
        <v>109.93271406454686</v>
      </c>
      <c r="D218" s="265">
        <v>344.97680198840101</v>
      </c>
      <c r="E218" s="91"/>
    </row>
    <row r="219" spans="2:5" ht="18.75">
      <c r="B219" s="91" t="s">
        <v>706</v>
      </c>
      <c r="C219" s="265">
        <v>106.60320823244552</v>
      </c>
      <c r="D219" s="265">
        <v>197.50534539473685</v>
      </c>
      <c r="E219" s="91"/>
    </row>
    <row r="220" spans="2:5" ht="18.75">
      <c r="B220" s="91" t="s">
        <v>707</v>
      </c>
      <c r="C220" s="265">
        <v>99.640989891948408</v>
      </c>
      <c r="D220" s="265">
        <v>208.62770562770564</v>
      </c>
      <c r="E220" s="91"/>
    </row>
    <row r="221" spans="2:5" ht="18.75">
      <c r="B221" s="91" t="s">
        <v>708</v>
      </c>
      <c r="C221" s="265">
        <v>123.87813206589452</v>
      </c>
      <c r="D221" s="265">
        <v>153.35280744057872</v>
      </c>
      <c r="E221" s="91"/>
    </row>
    <row r="222" spans="2:5" ht="18.75">
      <c r="B222" s="91" t="s">
        <v>709</v>
      </c>
      <c r="C222" s="265">
        <v>116.51351351351352</v>
      </c>
      <c r="D222" s="265">
        <v>187.47835051546392</v>
      </c>
      <c r="E222" s="91"/>
    </row>
    <row r="223" spans="2:5" ht="18.75">
      <c r="B223" s="91" t="s">
        <v>710</v>
      </c>
      <c r="C223" s="265">
        <v>90.166117065127779</v>
      </c>
      <c r="D223" s="265">
        <v>112.68980797636632</v>
      </c>
      <c r="E223" s="91"/>
    </row>
    <row r="224" spans="2:5" ht="18.75">
      <c r="B224" s="91" t="s">
        <v>711</v>
      </c>
      <c r="C224" s="265">
        <v>119.24987146529563</v>
      </c>
      <c r="D224" s="265">
        <v>178.48924731182797</v>
      </c>
      <c r="E224" s="91"/>
    </row>
    <row r="225" spans="2:5" ht="18.75">
      <c r="B225" s="91" t="s">
        <v>712</v>
      </c>
      <c r="C225" s="265">
        <v>106.0583217270195</v>
      </c>
      <c r="D225" s="265">
        <v>240.85074626865671</v>
      </c>
      <c r="E225" s="91"/>
    </row>
    <row r="226" spans="2:5" ht="18.75">
      <c r="B226" s="91" t="s">
        <v>713</v>
      </c>
      <c r="C226" s="265">
        <v>113.84980789381767</v>
      </c>
      <c r="D226" s="265">
        <v>227.79213817748661</v>
      </c>
      <c r="E226" s="91"/>
    </row>
    <row r="227" spans="2:5" ht="18.75">
      <c r="B227" s="91" t="s">
        <v>714</v>
      </c>
      <c r="C227" s="265">
        <v>111.07500829737803</v>
      </c>
      <c r="D227" s="265">
        <v>187.50766283524905</v>
      </c>
      <c r="E227" s="91"/>
    </row>
    <row r="228" spans="2:5" ht="18.75">
      <c r="B228" s="91" t="s">
        <v>715</v>
      </c>
      <c r="C228" s="265">
        <v>107.75616052569819</v>
      </c>
      <c r="D228" s="265">
        <v>300.12591815320042</v>
      </c>
      <c r="E228" s="91"/>
    </row>
    <row r="229" spans="2:5" ht="18.75">
      <c r="B229" s="91" t="s">
        <v>716</v>
      </c>
      <c r="C229" s="265">
        <v>115.79187562688064</v>
      </c>
      <c r="D229" s="265">
        <v>248.15367483296214</v>
      </c>
      <c r="E229" s="91"/>
    </row>
    <row r="230" spans="2:5" ht="18.75">
      <c r="B230" s="91" t="s">
        <v>717</v>
      </c>
      <c r="C230" s="265">
        <v>107.40116279069767</v>
      </c>
      <c r="D230" s="265">
        <v>220.2823712948518</v>
      </c>
      <c r="E230" s="91"/>
    </row>
    <row r="231" spans="2:5" ht="18.75">
      <c r="B231" s="91" t="s">
        <v>718</v>
      </c>
      <c r="C231" s="265">
        <v>130.80806488593373</v>
      </c>
      <c r="D231" s="265">
        <v>172.36733900094461</v>
      </c>
      <c r="E231" s="91"/>
    </row>
    <row r="232" spans="2:5" ht="18.75">
      <c r="B232" s="91" t="s">
        <v>719</v>
      </c>
      <c r="C232" s="265">
        <v>134.40635798203178</v>
      </c>
      <c r="D232" s="265">
        <v>199.5</v>
      </c>
      <c r="E232" s="91"/>
    </row>
    <row r="233" spans="2:5" ht="18.75">
      <c r="B233" s="91" t="s">
        <v>720</v>
      </c>
      <c r="C233" s="265">
        <v>130.75039897861475</v>
      </c>
      <c r="D233" s="265">
        <v>209.90639810426541</v>
      </c>
      <c r="E233" s="91"/>
    </row>
    <row r="234" spans="2:5" ht="18.75">
      <c r="B234" s="91" t="s">
        <v>721</v>
      </c>
      <c r="C234" s="265">
        <v>104.21301889217324</v>
      </c>
      <c r="D234" s="265">
        <v>238.66132332878581</v>
      </c>
      <c r="E234" s="91"/>
    </row>
    <row r="235" spans="2:5" ht="18.75">
      <c r="B235" s="91" t="s">
        <v>722</v>
      </c>
      <c r="C235" s="265">
        <v>126.15782161711587</v>
      </c>
      <c r="D235" s="265">
        <v>348.06888888888886</v>
      </c>
      <c r="E235" s="91"/>
    </row>
    <row r="236" spans="2:5" ht="18.75">
      <c r="B236" s="91" t="s">
        <v>723</v>
      </c>
      <c r="C236" s="265">
        <v>99.743002861052375</v>
      </c>
      <c r="D236" s="265">
        <v>110.64157002676183</v>
      </c>
      <c r="E236" s="91"/>
    </row>
    <row r="237" spans="2:5" ht="18.75">
      <c r="B237" s="91" t="s">
        <v>724</v>
      </c>
      <c r="C237" s="265">
        <v>134.13994945700429</v>
      </c>
      <c r="D237" s="265">
        <v>443.7544314742758</v>
      </c>
      <c r="E237" s="91"/>
    </row>
    <row r="238" spans="2:5" ht="18.75">
      <c r="B238" s="91" t="s">
        <v>725</v>
      </c>
      <c r="C238" s="265">
        <v>104.90438871473354</v>
      </c>
      <c r="D238" s="265">
        <v>130.70076611086074</v>
      </c>
      <c r="E238" s="91"/>
    </row>
    <row r="239" spans="2:5" ht="18.75">
      <c r="B239" s="91" t="s">
        <v>726</v>
      </c>
      <c r="C239" s="265">
        <v>114.39710004833253</v>
      </c>
      <c r="D239" s="265">
        <v>223.75348984771574</v>
      </c>
      <c r="E239" s="91"/>
    </row>
    <row r="240" spans="2:5" ht="18.75">
      <c r="B240" s="91" t="s">
        <v>727</v>
      </c>
      <c r="C240" s="265">
        <v>128.85475305363781</v>
      </c>
      <c r="D240" s="265">
        <v>270.23722316865417</v>
      </c>
      <c r="E240" s="91"/>
    </row>
    <row r="241" spans="2:5" ht="18.75">
      <c r="B241" s="91" t="s">
        <v>728</v>
      </c>
      <c r="C241" s="265">
        <v>118.89000702082846</v>
      </c>
      <c r="D241" s="265">
        <v>242.21398305084745</v>
      </c>
      <c r="E241" s="91"/>
    </row>
    <row r="242" spans="2:5" ht="18.75">
      <c r="B242" s="91" t="s">
        <v>729</v>
      </c>
      <c r="C242" s="265">
        <v>129.85771616198468</v>
      </c>
      <c r="D242" s="265">
        <v>199.93172454384933</v>
      </c>
      <c r="E242" s="91"/>
    </row>
    <row r="243" spans="2:5" ht="18.75">
      <c r="B243" s="91" t="s">
        <v>730</v>
      </c>
      <c r="C243" s="265">
        <v>106.96764946764947</v>
      </c>
      <c r="D243" s="265">
        <v>218.67311072056239</v>
      </c>
      <c r="E243" s="91"/>
    </row>
    <row r="244" spans="2:5" ht="18.75">
      <c r="B244" s="91" t="s">
        <v>731</v>
      </c>
      <c r="C244" s="265">
        <v>105.8455140943549</v>
      </c>
      <c r="D244" s="265">
        <v>188.35512367491165</v>
      </c>
      <c r="E244" s="91"/>
    </row>
    <row r="245" spans="2:5" ht="18.75">
      <c r="B245" s="91" t="s">
        <v>732</v>
      </c>
      <c r="C245" s="265">
        <v>110.40798205439761</v>
      </c>
      <c r="D245" s="265">
        <v>343.21328671328672</v>
      </c>
      <c r="E245" s="91"/>
    </row>
    <row r="246" spans="2:5" ht="18.75">
      <c r="B246" s="91" t="s">
        <v>733</v>
      </c>
      <c r="C246" s="265">
        <v>109.49424712356178</v>
      </c>
      <c r="D246" s="265">
        <v>287.70642883686361</v>
      </c>
      <c r="E246" s="91"/>
    </row>
    <row r="247" spans="2:5" ht="18.75">
      <c r="B247" s="91" t="s">
        <v>734</v>
      </c>
      <c r="C247" s="265">
        <v>105.31205673758865</v>
      </c>
      <c r="D247" s="265">
        <v>216.09677419354838</v>
      </c>
      <c r="E247" s="91"/>
    </row>
    <row r="248" spans="2:5" ht="18.75">
      <c r="B248" s="91" t="s">
        <v>735</v>
      </c>
      <c r="C248" s="265">
        <v>106.45192307692308</v>
      </c>
      <c r="D248" s="265">
        <v>154.96202531645571</v>
      </c>
      <c r="E248" s="91"/>
    </row>
    <row r="249" spans="2:5" ht="18.75">
      <c r="B249" s="91" t="s">
        <v>736</v>
      </c>
      <c r="C249" s="265">
        <v>127.38786565547129</v>
      </c>
      <c r="D249" s="265">
        <v>203.16859946476362</v>
      </c>
      <c r="E249" s="91"/>
    </row>
    <row r="250" spans="2:5" ht="18.75">
      <c r="B250" s="91" t="s">
        <v>737</v>
      </c>
      <c r="C250" s="265">
        <v>95.896820331856745</v>
      </c>
      <c r="D250" s="265">
        <v>210.20677140042517</v>
      </c>
      <c r="E250" s="91"/>
    </row>
    <row r="251" spans="2:5" ht="18.75">
      <c r="B251" s="91" t="s">
        <v>738</v>
      </c>
      <c r="C251" s="265">
        <v>101.64115866839602</v>
      </c>
      <c r="D251" s="265">
        <v>138.98159509202455</v>
      </c>
      <c r="E251" s="91"/>
    </row>
    <row r="252" spans="2:5" ht="18.75">
      <c r="B252" s="91" t="s">
        <v>739</v>
      </c>
      <c r="C252" s="265">
        <v>99.007510109763146</v>
      </c>
      <c r="D252" s="265">
        <v>121.3040293040293</v>
      </c>
      <c r="E252" s="91"/>
    </row>
    <row r="253" spans="2:5" ht="18.75">
      <c r="B253" s="91" t="s">
        <v>740</v>
      </c>
      <c r="C253" s="265">
        <v>106.26557550158395</v>
      </c>
      <c r="D253" s="265">
        <v>135.83624161073826</v>
      </c>
      <c r="E253" s="91"/>
    </row>
    <row r="254" spans="2:5" ht="18.75">
      <c r="B254" s="91" t="s">
        <v>741</v>
      </c>
      <c r="C254" s="265">
        <v>102.68901479383065</v>
      </c>
      <c r="D254" s="265">
        <v>132.58726899383984</v>
      </c>
      <c r="E254" s="91"/>
    </row>
    <row r="255" spans="2:5" ht="18.75">
      <c r="B255" s="91" t="s">
        <v>742</v>
      </c>
      <c r="C255" s="265">
        <v>76.750539180445728</v>
      </c>
      <c r="D255" s="265">
        <v>366.96296296296299</v>
      </c>
      <c r="E255" s="91"/>
    </row>
    <row r="256" spans="2:5" ht="18.75">
      <c r="B256" s="91" t="s">
        <v>743</v>
      </c>
      <c r="C256" s="265">
        <v>113.43102855177159</v>
      </c>
      <c r="D256" s="265">
        <v>362.19409282700423</v>
      </c>
      <c r="E256" s="91"/>
    </row>
    <row r="257" spans="2:5" ht="18.75">
      <c r="B257" s="91" t="s">
        <v>744</v>
      </c>
      <c r="C257" s="265">
        <v>94.953327922077918</v>
      </c>
      <c r="D257" s="265">
        <v>414.56822429906543</v>
      </c>
      <c r="E257" s="91"/>
    </row>
    <row r="258" spans="2:5" ht="18.75">
      <c r="B258" s="91" t="s">
        <v>745</v>
      </c>
      <c r="C258" s="265">
        <v>110.43788260712999</v>
      </c>
      <c r="D258" s="265">
        <v>266.38334778837816</v>
      </c>
      <c r="E258" s="91"/>
    </row>
    <row r="259" spans="2:5" ht="18.75">
      <c r="B259" s="91" t="s">
        <v>746</v>
      </c>
      <c r="C259" s="265">
        <v>117.98256624825663</v>
      </c>
      <c r="D259" s="265">
        <v>211.56320657759505</v>
      </c>
      <c r="E259" s="91"/>
    </row>
    <row r="260" spans="2:5" ht="18.75">
      <c r="B260" s="91" t="s">
        <v>747</v>
      </c>
      <c r="C260" s="265">
        <v>137.4612452350699</v>
      </c>
      <c r="D260" s="265">
        <v>202.11712379540401</v>
      </c>
      <c r="E260" s="91"/>
    </row>
    <row r="261" spans="2:5" ht="18.75">
      <c r="B261" s="91" t="s">
        <v>748</v>
      </c>
      <c r="C261" s="265">
        <v>116.75298554368322</v>
      </c>
      <c r="D261" s="265">
        <v>141.70124013528749</v>
      </c>
      <c r="E261" s="91"/>
    </row>
    <row r="262" spans="2:5" ht="18.75">
      <c r="B262" s="91" t="s">
        <v>749</v>
      </c>
      <c r="C262" s="265">
        <v>108.72500741619697</v>
      </c>
      <c r="D262" s="265">
        <v>158.08362989323842</v>
      </c>
      <c r="E262" s="91"/>
    </row>
    <row r="263" spans="2:5" ht="18.75">
      <c r="B263" s="91" t="s">
        <v>750</v>
      </c>
      <c r="C263" s="265">
        <v>104.74440052700922</v>
      </c>
      <c r="D263" s="265">
        <v>225.46271777003486</v>
      </c>
      <c r="E263" s="91"/>
    </row>
    <row r="264" spans="2:5" ht="18.75">
      <c r="B264" s="91" t="s">
        <v>751</v>
      </c>
      <c r="C264" s="265">
        <v>116.13510808646917</v>
      </c>
      <c r="D264" s="265">
        <v>255.6332560834299</v>
      </c>
      <c r="E264" s="91"/>
    </row>
    <row r="265" spans="2:5" ht="18.75">
      <c r="B265" s="91" t="s">
        <v>752</v>
      </c>
      <c r="C265" s="265">
        <v>103.31540092672583</v>
      </c>
      <c r="D265" s="265">
        <v>100.84356725146199</v>
      </c>
      <c r="E265" s="91"/>
    </row>
    <row r="266" spans="2:5" ht="18.75">
      <c r="B266" s="91" t="s">
        <v>753</v>
      </c>
      <c r="C266" s="265">
        <v>122.59026687598116</v>
      </c>
      <c r="D266" s="265">
        <v>151.71985157699444</v>
      </c>
      <c r="E266" s="91"/>
    </row>
    <row r="267" spans="2:5" ht="18.75">
      <c r="B267" s="91" t="s">
        <v>754</v>
      </c>
      <c r="C267" s="265">
        <v>115.09413854351688</v>
      </c>
      <c r="D267" s="265">
        <v>126.47058823529412</v>
      </c>
      <c r="E267" s="91"/>
    </row>
    <row r="268" spans="2:5" ht="18.75">
      <c r="B268" s="91" t="s">
        <v>755</v>
      </c>
      <c r="C268" s="265">
        <v>108.3704834605598</v>
      </c>
      <c r="D268" s="265">
        <v>116.95362663495838</v>
      </c>
      <c r="E268" s="91"/>
    </row>
    <row r="269" spans="2:5" ht="18.75">
      <c r="B269" s="91" t="s">
        <v>756</v>
      </c>
      <c r="C269" s="265">
        <v>122.18162140889413</v>
      </c>
      <c r="D269" s="265">
        <v>294.52211506484866</v>
      </c>
      <c r="E269" s="91"/>
    </row>
    <row r="270" spans="2:5" ht="18.75">
      <c r="B270" s="91" t="s">
        <v>757</v>
      </c>
      <c r="C270" s="265">
        <v>106.8816263510036</v>
      </c>
      <c r="D270" s="265">
        <v>219.6062457569586</v>
      </c>
      <c r="E270" s="91"/>
    </row>
    <row r="271" spans="2:5" ht="18.75">
      <c r="B271" s="91" t="s">
        <v>758</v>
      </c>
      <c r="C271" s="265">
        <v>103.5180055401662</v>
      </c>
      <c r="D271" s="265">
        <v>230.82692307692307</v>
      </c>
      <c r="E271" s="91"/>
    </row>
    <row r="272" spans="2:5" ht="18.75">
      <c r="B272" s="91" t="s">
        <v>759</v>
      </c>
      <c r="C272" s="265">
        <v>120.16021460616993</v>
      </c>
      <c r="D272" s="265">
        <v>231.14550111542593</v>
      </c>
      <c r="E272" s="91"/>
    </row>
    <row r="273" spans="2:5" ht="18.75">
      <c r="B273" s="91" t="s">
        <v>760</v>
      </c>
      <c r="C273" s="265">
        <v>101.71830985915493</v>
      </c>
      <c r="D273" s="265">
        <v>125.1244019138756</v>
      </c>
      <c r="E273" s="91"/>
    </row>
    <row r="274" spans="2:5" ht="18.75">
      <c r="B274" s="91" t="s">
        <v>761</v>
      </c>
      <c r="C274" s="265">
        <v>121.10093167701864</v>
      </c>
      <c r="D274" s="265">
        <v>464.30423280423281</v>
      </c>
      <c r="E274" s="91"/>
    </row>
    <row r="275" spans="2:5" ht="18.75">
      <c r="B275" s="91" t="s">
        <v>762</v>
      </c>
      <c r="C275" s="265">
        <v>94.255273353422297</v>
      </c>
      <c r="D275" s="265">
        <v>249.70481927710844</v>
      </c>
      <c r="E275" s="91"/>
    </row>
    <row r="276" spans="2:5" ht="18.75">
      <c r="B276" s="91" t="s">
        <v>763</v>
      </c>
      <c r="C276" s="265">
        <v>129.58568399870637</v>
      </c>
      <c r="D276" s="265">
        <v>270.40963147849067</v>
      </c>
      <c r="E276" s="91"/>
    </row>
    <row r="277" spans="2:5" ht="18.75">
      <c r="B277" s="91" t="s">
        <v>764</v>
      </c>
      <c r="C277" s="265">
        <v>127.30443548387096</v>
      </c>
      <c r="D277" s="265">
        <v>924.62162162162167</v>
      </c>
      <c r="E277" s="91"/>
    </row>
    <row r="278" spans="2:5" ht="18.75">
      <c r="B278" s="91" t="s">
        <v>765</v>
      </c>
      <c r="C278" s="265">
        <v>116.13439635535308</v>
      </c>
      <c r="D278" s="265">
        <v>379.22016460905348</v>
      </c>
      <c r="E278" s="91"/>
    </row>
    <row r="279" spans="2:5" ht="18.75">
      <c r="B279" s="91" t="s">
        <v>766</v>
      </c>
      <c r="C279" s="265">
        <v>89.434969635627525</v>
      </c>
      <c r="D279" s="265">
        <v>247.95975232198143</v>
      </c>
      <c r="E279" s="91"/>
    </row>
    <row r="280" spans="2:5" ht="18.75">
      <c r="B280" s="91" t="s">
        <v>767</v>
      </c>
      <c r="C280" s="265">
        <v>106.05059596205302</v>
      </c>
      <c r="D280" s="265">
        <v>212.32093663911846</v>
      </c>
      <c r="E280" s="91"/>
    </row>
    <row r="281" spans="2:5" ht="18.75">
      <c r="B281" s="91" t="s">
        <v>768</v>
      </c>
      <c r="C281" s="265">
        <v>131.52259943207508</v>
      </c>
      <c r="D281" s="265">
        <v>374.25423460503401</v>
      </c>
      <c r="E281" s="91"/>
    </row>
    <row r="282" spans="2:5" ht="18.75">
      <c r="B282" s="91" t="s">
        <v>769</v>
      </c>
      <c r="C282" s="265">
        <v>117.19559765951519</v>
      </c>
      <c r="D282" s="265">
        <v>222.98784656285605</v>
      </c>
      <c r="E282" s="91"/>
    </row>
    <row r="283" spans="2:5" ht="18.75">
      <c r="B283" s="91" t="s">
        <v>770</v>
      </c>
      <c r="C283" s="265">
        <v>117.04742462311557</v>
      </c>
      <c r="D283" s="265">
        <v>287.83602941176468</v>
      </c>
      <c r="E283" s="91"/>
    </row>
    <row r="284" spans="2:5" ht="18.75">
      <c r="B284" s="91" t="s">
        <v>771</v>
      </c>
      <c r="C284" s="265">
        <v>100.99514687100894</v>
      </c>
      <c r="D284" s="265">
        <v>88.792857142857144</v>
      </c>
      <c r="E284" s="91"/>
    </row>
    <row r="285" spans="2:5" ht="18.75">
      <c r="B285" s="91" t="s">
        <v>772</v>
      </c>
      <c r="C285" s="265">
        <v>113.5923076923077</v>
      </c>
      <c r="D285" s="265">
        <v>201.05891980360065</v>
      </c>
      <c r="E285" s="91"/>
    </row>
    <row r="286" spans="2:5" ht="18.75">
      <c r="B286" s="91" t="s">
        <v>773</v>
      </c>
      <c r="C286" s="265">
        <v>123.54026913034745</v>
      </c>
      <c r="D286" s="265">
        <v>119.05773968934119</v>
      </c>
      <c r="E286" s="91"/>
    </row>
    <row r="287" spans="2:5" ht="18.75">
      <c r="B287" s="91" t="s">
        <v>774</v>
      </c>
      <c r="C287" s="265">
        <v>104.85170603674541</v>
      </c>
      <c r="D287" s="265">
        <v>257.87860082304525</v>
      </c>
      <c r="E287" s="91"/>
    </row>
    <row r="288" spans="2:5" ht="18.75">
      <c r="B288" s="91" t="s">
        <v>775</v>
      </c>
      <c r="C288" s="265">
        <v>109.88926581051611</v>
      </c>
      <c r="D288" s="265">
        <v>194.85675675675677</v>
      </c>
      <c r="E288" s="91"/>
    </row>
    <row r="289" spans="2:5" ht="18.75">
      <c r="B289" s="91" t="s">
        <v>776</v>
      </c>
      <c r="C289" s="265">
        <v>105.19508987286278</v>
      </c>
      <c r="D289" s="265">
        <v>173.17777777777778</v>
      </c>
      <c r="E289" s="91"/>
    </row>
    <row r="290" spans="2:5" ht="18.75">
      <c r="B290" s="91" t="s">
        <v>777</v>
      </c>
      <c r="C290" s="265">
        <v>109.97226666666667</v>
      </c>
      <c r="D290" s="265">
        <v>198.04875283446711</v>
      </c>
      <c r="E290" s="91"/>
    </row>
    <row r="291" spans="2:5" ht="18.75">
      <c r="B291" s="91" t="s">
        <v>778</v>
      </c>
      <c r="C291" s="265">
        <v>115.46351931330472</v>
      </c>
      <c r="D291" s="265">
        <v>145.37572254335259</v>
      </c>
      <c r="E291" s="91"/>
    </row>
    <row r="292" spans="2:5" ht="18.75">
      <c r="B292" s="91" t="s">
        <v>779</v>
      </c>
      <c r="C292" s="265">
        <v>133.91397314768773</v>
      </c>
      <c r="D292" s="265">
        <v>261.73786407766988</v>
      </c>
      <c r="E292" s="91"/>
    </row>
    <row r="293" spans="2:5" ht="18.75">
      <c r="B293" s="91" t="s">
        <v>780</v>
      </c>
      <c r="C293" s="265">
        <v>111.12731229597388</v>
      </c>
      <c r="D293" s="265">
        <v>251.03370786516854</v>
      </c>
      <c r="E293" s="91"/>
    </row>
    <row r="294" spans="2:5" ht="18.75">
      <c r="B294" s="91" t="s">
        <v>781</v>
      </c>
      <c r="C294" s="265">
        <v>120.4287317620651</v>
      </c>
      <c r="D294" s="265">
        <v>179.85436893203882</v>
      </c>
      <c r="E294" s="91"/>
    </row>
    <row r="295" spans="2:5" ht="18.75">
      <c r="B295" s="91" t="s">
        <v>782</v>
      </c>
      <c r="C295" s="265">
        <v>114.14749817194192</v>
      </c>
      <c r="D295" s="265">
        <v>278.85241730279898</v>
      </c>
      <c r="E295" s="91"/>
    </row>
    <row r="296" spans="2:5" ht="18.75">
      <c r="B296" s="91" t="s">
        <v>783</v>
      </c>
      <c r="C296" s="265">
        <v>108.23508894314615</v>
      </c>
      <c r="D296" s="265">
        <v>216.72436604189636</v>
      </c>
      <c r="E296" s="91"/>
    </row>
    <row r="297" spans="2:5" ht="18.75">
      <c r="B297" s="91" t="s">
        <v>784</v>
      </c>
      <c r="C297" s="265">
        <v>116.15202183927657</v>
      </c>
      <c r="D297" s="265">
        <v>129.88483863478058</v>
      </c>
      <c r="E297" s="91"/>
    </row>
    <row r="298" spans="2:5" ht="18.75">
      <c r="B298" s="91" t="s">
        <v>785</v>
      </c>
      <c r="C298" s="265">
        <v>104.61919805589308</v>
      </c>
      <c r="D298" s="265">
        <v>188.53749999999999</v>
      </c>
      <c r="E298" s="91"/>
    </row>
    <row r="299" spans="2:5" ht="18.75">
      <c r="B299" s="91" t="s">
        <v>786</v>
      </c>
      <c r="C299" s="265">
        <v>115.59847434119278</v>
      </c>
      <c r="D299" s="265">
        <v>299.36148648648651</v>
      </c>
      <c r="E299" s="91"/>
    </row>
    <row r="300" spans="2:5" ht="18.75">
      <c r="B300" s="91" t="s">
        <v>787</v>
      </c>
      <c r="C300" s="265">
        <v>121.42505720823799</v>
      </c>
      <c r="D300" s="265">
        <v>269.38172043010752</v>
      </c>
      <c r="E300" s="91"/>
    </row>
    <row r="301" spans="2:5" ht="18.75">
      <c r="B301" s="91" t="s">
        <v>788</v>
      </c>
      <c r="C301" s="265">
        <v>110.35176226675881</v>
      </c>
      <c r="D301" s="265">
        <v>288.4889135254989</v>
      </c>
      <c r="E301" s="91"/>
    </row>
    <row r="302" spans="2:5" ht="18.75">
      <c r="B302" s="91" t="s">
        <v>789</v>
      </c>
      <c r="C302" s="265">
        <v>111.50632911392405</v>
      </c>
      <c r="D302" s="265">
        <v>252.47577519379846</v>
      </c>
      <c r="E302" s="91"/>
    </row>
    <row r="303" spans="2:5" ht="18.75">
      <c r="B303" s="91" t="s">
        <v>790</v>
      </c>
      <c r="C303" s="265">
        <v>97.352964067972493</v>
      </c>
      <c r="D303" s="265">
        <v>194.14831504702195</v>
      </c>
      <c r="E303" s="91"/>
    </row>
    <row r="304" spans="2:5" ht="18.75">
      <c r="B304" s="91" t="s">
        <v>791</v>
      </c>
      <c r="C304" s="265">
        <v>85.191247974068077</v>
      </c>
      <c r="D304" s="265">
        <v>116.07</v>
      </c>
      <c r="E304" s="91"/>
    </row>
    <row r="305" spans="2:5" ht="18.75">
      <c r="B305" s="91" t="s">
        <v>792</v>
      </c>
      <c r="C305" s="265">
        <v>110.39866220735786</v>
      </c>
      <c r="D305" s="265">
        <v>128.18599656357389</v>
      </c>
      <c r="E305" s="91"/>
    </row>
    <row r="306" spans="2:5" ht="18.75">
      <c r="B306" s="91" t="s">
        <v>793</v>
      </c>
      <c r="C306" s="265">
        <v>99.338353839626649</v>
      </c>
      <c r="D306" s="265">
        <v>142.40591872791521</v>
      </c>
      <c r="E306" s="91"/>
    </row>
    <row r="307" spans="2:5" ht="18.75">
      <c r="B307" s="91" t="s">
        <v>794</v>
      </c>
      <c r="C307" s="265">
        <v>109.41447053186391</v>
      </c>
      <c r="D307" s="265">
        <v>108.94017946161516</v>
      </c>
      <c r="E307" s="91"/>
    </row>
    <row r="308" spans="2:5" ht="18.75">
      <c r="B308" s="91" t="s">
        <v>795</v>
      </c>
      <c r="C308" s="265">
        <v>91.499679965863024</v>
      </c>
      <c r="D308" s="265">
        <v>104.26238145416228</v>
      </c>
      <c r="E308" s="91"/>
    </row>
    <row r="309" spans="2:5" ht="18.75">
      <c r="B309" s="91" t="s">
        <v>796</v>
      </c>
      <c r="C309" s="265">
        <v>108.90575709779179</v>
      </c>
      <c r="D309" s="265">
        <v>489.0285110876452</v>
      </c>
      <c r="E309" s="91"/>
    </row>
    <row r="310" spans="2:5" ht="18.75">
      <c r="B310" s="91" t="s">
        <v>797</v>
      </c>
      <c r="C310" s="265">
        <v>127.56885356226923</v>
      </c>
      <c r="D310" s="265">
        <v>454.21644081754886</v>
      </c>
      <c r="E310" s="91"/>
    </row>
    <row r="311" spans="2:5" ht="18.75">
      <c r="B311" s="91" t="s">
        <v>798</v>
      </c>
      <c r="C311" s="265">
        <v>119.61479476770411</v>
      </c>
      <c r="D311" s="265">
        <v>216.4128205128205</v>
      </c>
      <c r="E311" s="91"/>
    </row>
    <row r="312" spans="2:5" ht="18.75">
      <c r="B312" s="91" t="s">
        <v>799</v>
      </c>
      <c r="C312" s="265">
        <v>115.47536348949919</v>
      </c>
      <c r="D312" s="265">
        <v>164.07956715467856</v>
      </c>
      <c r="E312" s="91"/>
    </row>
    <row r="313" spans="2:5" ht="18.75">
      <c r="B313" s="91" t="s">
        <v>800</v>
      </c>
      <c r="C313" s="265">
        <v>102.19754035357417</v>
      </c>
      <c r="D313" s="265">
        <v>191.44556962025317</v>
      </c>
      <c r="E313" s="91"/>
    </row>
    <row r="314" spans="2:5" ht="18.75">
      <c r="B314" s="91" t="s">
        <v>801</v>
      </c>
      <c r="C314" s="265">
        <v>105.18379902589079</v>
      </c>
      <c r="D314" s="265">
        <v>108.23506944444445</v>
      </c>
      <c r="E314" s="91"/>
    </row>
    <row r="315" spans="2:5" ht="18.75">
      <c r="B315" s="91" t="s">
        <v>802</v>
      </c>
      <c r="C315" s="265">
        <v>109.71574151780362</v>
      </c>
      <c r="D315" s="265">
        <v>168.43215538171029</v>
      </c>
      <c r="E315" s="91"/>
    </row>
    <row r="316" spans="2:5" ht="18.75">
      <c r="B316" s="91" t="s">
        <v>803</v>
      </c>
      <c r="C316" s="265">
        <v>130.67822736030828</v>
      </c>
      <c r="D316" s="265">
        <v>1436.8658536585365</v>
      </c>
      <c r="E316" s="91"/>
    </row>
    <row r="317" spans="2:5" ht="18.75">
      <c r="B317" s="91" t="s">
        <v>804</v>
      </c>
      <c r="C317" s="265">
        <v>91.173781572394162</v>
      </c>
      <c r="D317" s="265">
        <v>327.99557848194547</v>
      </c>
      <c r="E317" s="91"/>
    </row>
    <row r="318" spans="2:5" ht="18.75">
      <c r="B318" s="91" t="s">
        <v>805</v>
      </c>
      <c r="C318" s="265">
        <v>104.72070348095498</v>
      </c>
      <c r="D318" s="265">
        <v>213.64808447937131</v>
      </c>
      <c r="E318" s="91"/>
    </row>
    <row r="319" spans="2:5" ht="18.75">
      <c r="B319" s="91" t="s">
        <v>806</v>
      </c>
      <c r="C319" s="265">
        <v>114.84304974623504</v>
      </c>
      <c r="D319" s="265">
        <v>239.82143516637737</v>
      </c>
      <c r="E319" s="91"/>
    </row>
    <row r="320" spans="2:5" ht="18.75">
      <c r="B320" s="91" t="s">
        <v>807</v>
      </c>
      <c r="C320" s="265">
        <v>118.4350678229931</v>
      </c>
      <c r="D320" s="265">
        <v>188.25905068382946</v>
      </c>
      <c r="E320" s="91"/>
    </row>
    <row r="321" spans="2:5" ht="18.75">
      <c r="B321" s="91" t="s">
        <v>808</v>
      </c>
      <c r="C321" s="265">
        <v>85.612665684830631</v>
      </c>
      <c r="D321" s="265">
        <v>66.938775510204081</v>
      </c>
      <c r="E321" s="91"/>
    </row>
    <row r="322" spans="2:5" ht="18.75">
      <c r="B322" s="91" t="s">
        <v>809</v>
      </c>
      <c r="C322" s="265">
        <v>115.36467623109732</v>
      </c>
      <c r="D322" s="265">
        <v>224.29064804035701</v>
      </c>
      <c r="E322" s="91"/>
    </row>
    <row r="323" spans="2:5" ht="18.75">
      <c r="B323" s="91" t="s">
        <v>810</v>
      </c>
      <c r="C323" s="265">
        <v>103.42775229357798</v>
      </c>
      <c r="D323" s="265">
        <v>192.43312998592211</v>
      </c>
      <c r="E323" s="91"/>
    </row>
    <row r="324" spans="2:5" ht="18.75">
      <c r="B324" s="91" t="s">
        <v>811</v>
      </c>
      <c r="C324" s="265">
        <v>89.73817663817664</v>
      </c>
      <c r="D324" s="265">
        <v>107.83742774566474</v>
      </c>
      <c r="E324" s="91"/>
    </row>
    <row r="325" spans="2:5" ht="18.75">
      <c r="B325" s="91" t="s">
        <v>812</v>
      </c>
      <c r="C325" s="265">
        <v>114.8842549203374</v>
      </c>
      <c r="D325" s="265">
        <v>211.5389809699202</v>
      </c>
      <c r="E325" s="91"/>
    </row>
    <row r="326" spans="2:5" ht="18.75">
      <c r="B326" s="91" t="s">
        <v>813</v>
      </c>
      <c r="C326" s="265">
        <v>124.30955697966007</v>
      </c>
      <c r="D326" s="265">
        <v>327.21448730009405</v>
      </c>
      <c r="E326" s="91"/>
    </row>
    <row r="327" spans="2:5" ht="18.75">
      <c r="B327" s="91" t="s">
        <v>814</v>
      </c>
      <c r="C327" s="265">
        <v>124.0382757339279</v>
      </c>
      <c r="D327" s="265">
        <v>316.78218465539663</v>
      </c>
      <c r="E327" s="91"/>
    </row>
    <row r="328" spans="2:5" ht="18.75">
      <c r="B328" s="91" t="s">
        <v>815</v>
      </c>
      <c r="C328" s="265">
        <v>115.60844155844156</v>
      </c>
      <c r="D328" s="265">
        <v>249.37462537462537</v>
      </c>
      <c r="E328" s="91"/>
    </row>
    <row r="329" spans="2:5" ht="18.75">
      <c r="B329" s="91" t="s">
        <v>816</v>
      </c>
      <c r="C329" s="265">
        <v>122.46915088576665</v>
      </c>
      <c r="D329" s="265">
        <v>267.52161383285301</v>
      </c>
      <c r="E329" s="91"/>
    </row>
    <row r="330" spans="2:5" ht="18.75">
      <c r="B330" s="91" t="s">
        <v>817</v>
      </c>
      <c r="C330" s="265">
        <v>107.08445825932505</v>
      </c>
      <c r="D330" s="265">
        <v>215.98853398853399</v>
      </c>
      <c r="E330" s="91"/>
    </row>
    <row r="331" spans="2:5" ht="18.75">
      <c r="B331" s="91" t="s">
        <v>818</v>
      </c>
      <c r="C331" s="265">
        <v>84.342680730640595</v>
      </c>
      <c r="D331" s="265">
        <v>193.80633802816902</v>
      </c>
      <c r="E331" s="91"/>
    </row>
    <row r="332" spans="2:5" ht="18.75">
      <c r="B332" s="91" t="s">
        <v>819</v>
      </c>
      <c r="C332" s="265">
        <v>100.33586956521739</v>
      </c>
      <c r="D332" s="265">
        <v>128.5913597733711</v>
      </c>
      <c r="E332" s="91"/>
    </row>
    <row r="333" spans="2:5" ht="18.75">
      <c r="B333" s="91" t="s">
        <v>820</v>
      </c>
      <c r="C333" s="265">
        <v>126.40866757730039</v>
      </c>
      <c r="D333" s="265">
        <v>255.63393152042278</v>
      </c>
      <c r="E333" s="91"/>
    </row>
    <row r="334" spans="2:5" ht="18.75">
      <c r="B334" s="91" t="s">
        <v>821</v>
      </c>
      <c r="C334" s="265">
        <v>121.80472516875602</v>
      </c>
      <c r="D334" s="265">
        <v>262.58333333333331</v>
      </c>
      <c r="E334" s="91"/>
    </row>
    <row r="335" spans="2:5" ht="18.75">
      <c r="B335" s="91" t="s">
        <v>822</v>
      </c>
      <c r="C335" s="265">
        <v>131.33736153071501</v>
      </c>
      <c r="D335" s="265">
        <v>239.72873900293254</v>
      </c>
      <c r="E335" s="91"/>
    </row>
    <row r="336" spans="2:5" ht="18.75">
      <c r="B336" s="91" t="s">
        <v>823</v>
      </c>
      <c r="C336" s="265">
        <v>126.48459530026109</v>
      </c>
      <c r="D336" s="265">
        <v>241.65953038674033</v>
      </c>
      <c r="E336" s="91"/>
    </row>
    <row r="337" spans="2:5" ht="18.75">
      <c r="B337" s="91" t="s">
        <v>824</v>
      </c>
      <c r="C337" s="265">
        <v>120.74292040063258</v>
      </c>
      <c r="D337" s="265">
        <v>271.98312342569267</v>
      </c>
      <c r="E337" s="91"/>
    </row>
    <row r="338" spans="2:5" ht="18.75">
      <c r="B338" s="91" t="s">
        <v>825</v>
      </c>
      <c r="C338" s="265">
        <v>126.30884257623926</v>
      </c>
      <c r="D338" s="265">
        <v>221.43109573672402</v>
      </c>
      <c r="E338" s="91"/>
    </row>
    <row r="339" spans="2:5" ht="18.75">
      <c r="B339" s="91" t="s">
        <v>826</v>
      </c>
      <c r="C339" s="265">
        <v>113.5790647061946</v>
      </c>
      <c r="D339" s="265">
        <v>292.67764060356654</v>
      </c>
      <c r="E339" s="91"/>
    </row>
    <row r="340" spans="2:5" ht="18.75">
      <c r="B340" s="91" t="s">
        <v>827</v>
      </c>
      <c r="C340" s="265">
        <v>100.45571658615137</v>
      </c>
      <c r="D340" s="265">
        <v>118.13992537313433</v>
      </c>
      <c r="E340" s="91"/>
    </row>
    <row r="341" spans="2:5" ht="18.75">
      <c r="B341" s="91" t="s">
        <v>828</v>
      </c>
      <c r="C341" s="265">
        <v>129.80776699029127</v>
      </c>
      <c r="D341" s="265">
        <v>264.05204460966542</v>
      </c>
      <c r="E341" s="91"/>
    </row>
    <row r="342" spans="2:5" ht="18.75">
      <c r="B342" s="91" t="s">
        <v>829</v>
      </c>
      <c r="C342" s="265">
        <v>84.623425692695207</v>
      </c>
      <c r="D342" s="265">
        <v>197.59302325581396</v>
      </c>
      <c r="E342" s="91"/>
    </row>
    <row r="343" spans="2:5" ht="18.75">
      <c r="B343" s="91" t="s">
        <v>830</v>
      </c>
      <c r="C343" s="265">
        <v>101.42693773824651</v>
      </c>
      <c r="D343" s="265">
        <v>227.57719869706841</v>
      </c>
      <c r="E343" s="91"/>
    </row>
    <row r="344" spans="2:5" ht="18.75">
      <c r="B344" s="91" t="s">
        <v>831</v>
      </c>
      <c r="C344" s="265">
        <v>100.06433350488935</v>
      </c>
      <c r="D344" s="265">
        <v>133.96242424242425</v>
      </c>
      <c r="E344" s="91"/>
    </row>
    <row r="345" spans="2:5" ht="18.75">
      <c r="B345" s="91" t="s">
        <v>832</v>
      </c>
      <c r="C345" s="265">
        <v>116.57055163134881</v>
      </c>
      <c r="D345" s="265">
        <v>220.66182329505509</v>
      </c>
      <c r="E345" s="91"/>
    </row>
    <row r="346" spans="2:5" ht="18.75">
      <c r="B346" s="91" t="s">
        <v>833</v>
      </c>
      <c r="C346" s="265">
        <v>103.72164574414049</v>
      </c>
      <c r="D346" s="265">
        <v>134.50990018000329</v>
      </c>
      <c r="E346" s="91"/>
    </row>
    <row r="347" spans="2:5" ht="18.75">
      <c r="B347" s="91" t="s">
        <v>834</v>
      </c>
      <c r="C347" s="265">
        <v>132.8895051817253</v>
      </c>
      <c r="D347" s="265">
        <v>223.54337982249592</v>
      </c>
      <c r="E347" s="91"/>
    </row>
    <row r="348" spans="2:5" ht="18.75">
      <c r="B348" s="91" t="s">
        <v>835</v>
      </c>
      <c r="C348" s="265">
        <v>102.09252038284296</v>
      </c>
      <c r="D348" s="265">
        <v>271.86842105263156</v>
      </c>
      <c r="E348" s="91"/>
    </row>
    <row r="349" spans="2:5" ht="18.75">
      <c r="B349" s="91" t="s">
        <v>836</v>
      </c>
      <c r="C349" s="265">
        <v>122.41042314579211</v>
      </c>
      <c r="D349" s="265">
        <v>337.21482729570346</v>
      </c>
      <c r="E349" s="91"/>
    </row>
    <row r="350" spans="2:5" ht="18.75">
      <c r="B350" s="91" t="s">
        <v>837</v>
      </c>
      <c r="C350" s="265">
        <v>120.1341018251681</v>
      </c>
      <c r="D350" s="265">
        <v>235.94969512195121</v>
      </c>
      <c r="E350" s="91"/>
    </row>
    <row r="351" spans="2:5" ht="18.75">
      <c r="B351" s="91" t="s">
        <v>838</v>
      </c>
      <c r="C351" s="265">
        <v>112.72540716612377</v>
      </c>
      <c r="D351" s="265">
        <v>196.38217000691085</v>
      </c>
      <c r="E351" s="91"/>
    </row>
    <row r="352" spans="2:5" ht="18.75">
      <c r="B352" s="91" t="s">
        <v>839</v>
      </c>
      <c r="C352" s="265">
        <v>114.47083775185578</v>
      </c>
      <c r="D352" s="265">
        <v>267.49777382012468</v>
      </c>
      <c r="E352" s="91"/>
    </row>
    <row r="353" spans="2:5" ht="18.75">
      <c r="B353" s="91" t="s">
        <v>840</v>
      </c>
      <c r="C353" s="265">
        <v>118.90905874026893</v>
      </c>
      <c r="D353" s="265">
        <v>281.51326530612243</v>
      </c>
      <c r="E353" s="91"/>
    </row>
    <row r="354" spans="2:5" ht="18.75">
      <c r="B354" s="91" t="s">
        <v>841</v>
      </c>
      <c r="C354" s="265">
        <v>131.84665777022929</v>
      </c>
      <c r="D354" s="265">
        <v>267.5226683937824</v>
      </c>
      <c r="E354" s="91"/>
    </row>
    <row r="355" spans="2:5" ht="18.75">
      <c r="B355" s="91" t="s">
        <v>842</v>
      </c>
      <c r="C355" s="265">
        <v>100.26070038910505</v>
      </c>
      <c r="D355" s="265">
        <v>151.14808652246256</v>
      </c>
      <c r="E355" s="91"/>
    </row>
    <row r="356" spans="2:5" ht="18.75">
      <c r="B356" s="91" t="s">
        <v>843</v>
      </c>
      <c r="C356" s="265">
        <v>116.56621187800963</v>
      </c>
      <c r="D356" s="265">
        <v>226.41765873015873</v>
      </c>
      <c r="E356" s="91"/>
    </row>
    <row r="357" spans="2:5" ht="18.75">
      <c r="B357" s="91" t="s">
        <v>844</v>
      </c>
      <c r="C357" s="265">
        <v>91.711478800413644</v>
      </c>
      <c r="D357" s="265">
        <v>120.8515625</v>
      </c>
      <c r="E357" s="91"/>
    </row>
    <row r="358" spans="2:5" ht="18.75">
      <c r="B358" s="91" t="s">
        <v>845</v>
      </c>
      <c r="C358" s="265">
        <v>106.15615615615616</v>
      </c>
      <c r="D358" s="265">
        <v>241.40506329113924</v>
      </c>
      <c r="E358" s="91"/>
    </row>
    <row r="359" spans="2:5" ht="18.75">
      <c r="B359" s="91" t="s">
        <v>846</v>
      </c>
      <c r="C359" s="265">
        <v>101.85445783132531</v>
      </c>
      <c r="D359" s="265">
        <v>406.32110091743118</v>
      </c>
      <c r="E359" s="91"/>
    </row>
    <row r="360" spans="2:5" ht="18.75">
      <c r="B360" s="91" t="s">
        <v>847</v>
      </c>
      <c r="C360" s="265">
        <v>139.10757946210268</v>
      </c>
      <c r="D360" s="265">
        <v>306.57407407407408</v>
      </c>
      <c r="E360" s="91"/>
    </row>
    <row r="361" spans="2:5" ht="18.75">
      <c r="B361" s="91" t="s">
        <v>848</v>
      </c>
      <c r="C361" s="265">
        <v>130.40350877192984</v>
      </c>
      <c r="D361" s="265">
        <v>450.38396624472574</v>
      </c>
      <c r="E361" s="91"/>
    </row>
    <row r="362" spans="2:5" ht="18.75">
      <c r="B362" s="91" t="s">
        <v>849</v>
      </c>
      <c r="C362" s="265">
        <v>120.60172903837044</v>
      </c>
      <c r="D362" s="265">
        <v>358.81140684410644</v>
      </c>
      <c r="E362" s="91"/>
    </row>
    <row r="363" spans="2:5" ht="18.75">
      <c r="B363" s="91" t="s">
        <v>850</v>
      </c>
      <c r="C363" s="265">
        <v>102.89130434782609</v>
      </c>
      <c r="D363" s="265">
        <v>308.68644067796612</v>
      </c>
      <c r="E363" s="91"/>
    </row>
    <row r="364" spans="2:5" ht="18.75">
      <c r="B364" s="91" t="s">
        <v>851</v>
      </c>
      <c r="C364" s="265">
        <v>87.620320855614978</v>
      </c>
      <c r="D364" s="265">
        <v>124.28055878928987</v>
      </c>
      <c r="E364" s="91"/>
    </row>
  </sheetData>
  <mergeCells count="65">
    <mergeCell ref="B5:B14"/>
    <mergeCell ref="E4:G4"/>
    <mergeCell ref="F5:G14"/>
    <mergeCell ref="B70:B71"/>
    <mergeCell ref="B16:C16"/>
    <mergeCell ref="B17:C17"/>
    <mergeCell ref="B36:C36"/>
    <mergeCell ref="B37:C37"/>
    <mergeCell ref="B38:C38"/>
    <mergeCell ref="B39:C39"/>
    <mergeCell ref="B40:C40"/>
    <mergeCell ref="B44:C44"/>
    <mergeCell ref="B42:C42"/>
    <mergeCell ref="B15:C15"/>
    <mergeCell ref="B32:C32"/>
    <mergeCell ref="B33:C33"/>
    <mergeCell ref="B34:C34"/>
    <mergeCell ref="B35:C35"/>
    <mergeCell ref="B137:D137"/>
    <mergeCell ref="B111:D111"/>
    <mergeCell ref="C91:D91"/>
    <mergeCell ref="C92:D92"/>
    <mergeCell ref="C93:D93"/>
    <mergeCell ref="C94:D94"/>
    <mergeCell ref="B68:B69"/>
    <mergeCell ref="B24:C24"/>
    <mergeCell ref="B25:C25"/>
    <mergeCell ref="B26:C26"/>
    <mergeCell ref="B27:C27"/>
    <mergeCell ref="B29:C29"/>
    <mergeCell ref="B18:C18"/>
    <mergeCell ref="B19:C19"/>
    <mergeCell ref="B20:C20"/>
    <mergeCell ref="B21:C21"/>
    <mergeCell ref="B23:C23"/>
    <mergeCell ref="B164:C164"/>
    <mergeCell ref="B167:D167"/>
    <mergeCell ref="B45:C45"/>
    <mergeCell ref="B49:C49"/>
    <mergeCell ref="B52:C52"/>
    <mergeCell ref="B53:C53"/>
    <mergeCell ref="B59:C59"/>
    <mergeCell ref="B67:C67"/>
    <mergeCell ref="C135:D135"/>
    <mergeCell ref="C89:D89"/>
    <mergeCell ref="C90:D90"/>
    <mergeCell ref="B161:C161"/>
    <mergeCell ref="B48:C48"/>
    <mergeCell ref="B58:C58"/>
    <mergeCell ref="B173:D173"/>
    <mergeCell ref="B174:D174"/>
    <mergeCell ref="B175:D175"/>
    <mergeCell ref="B86:C86"/>
    <mergeCell ref="B104:C104"/>
    <mergeCell ref="B105:C105"/>
    <mergeCell ref="B101:C101"/>
    <mergeCell ref="B99:G99"/>
    <mergeCell ref="B168:D168"/>
    <mergeCell ref="B169:D169"/>
    <mergeCell ref="B170:D170"/>
    <mergeCell ref="B171:D171"/>
    <mergeCell ref="B172:D172"/>
    <mergeCell ref="B162:C162"/>
    <mergeCell ref="B163:C163"/>
    <mergeCell ref="B160:C160"/>
  </mergeCells>
  <phoneticPr fontId="2"/>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9EFD-11A6-4C4B-8453-0F67FC605EE3}">
  <dimension ref="A1:C14"/>
  <sheetViews>
    <sheetView workbookViewId="0">
      <selection activeCell="C14" sqref="C14"/>
    </sheetView>
  </sheetViews>
  <sheetFormatPr defaultColWidth="8.625" defaultRowHeight="11.25"/>
  <cols>
    <col min="1" max="1" width="58.5" style="62" bestFit="1" customWidth="1"/>
    <col min="2" max="2" width="6.625" style="84" bestFit="1" customWidth="1"/>
    <col min="3" max="3" width="47.25" style="62" bestFit="1" customWidth="1"/>
    <col min="4" max="16384" width="8.625" style="62"/>
  </cols>
  <sheetData>
    <row r="1" spans="1:3">
      <c r="A1" s="70" t="s">
        <v>201</v>
      </c>
      <c r="C1" s="70"/>
    </row>
    <row r="2" spans="1:3">
      <c r="A2" s="63" t="s">
        <v>181</v>
      </c>
      <c r="B2" s="63"/>
      <c r="C2" s="63" t="s">
        <v>193</v>
      </c>
    </row>
    <row r="3" spans="1:3">
      <c r="A3" s="71" t="s">
        <v>632</v>
      </c>
      <c r="B3" s="67" t="s">
        <v>183</v>
      </c>
      <c r="C3" s="63"/>
    </row>
    <row r="4" spans="1:3">
      <c r="A4" s="82" t="s">
        <v>359</v>
      </c>
      <c r="B4" s="67" t="s">
        <v>183</v>
      </c>
      <c r="C4" s="71"/>
    </row>
    <row r="5" spans="1:3">
      <c r="A5" s="82" t="s">
        <v>358</v>
      </c>
      <c r="B5" s="67" t="s">
        <v>183</v>
      </c>
      <c r="C5" s="71"/>
    </row>
    <row r="6" spans="1:3">
      <c r="A6" s="82" t="s">
        <v>360</v>
      </c>
      <c r="B6" s="67" t="s">
        <v>183</v>
      </c>
      <c r="C6" s="64"/>
    </row>
    <row r="7" spans="1:3">
      <c r="A7" s="82" t="s">
        <v>361</v>
      </c>
      <c r="B7" s="67" t="s">
        <v>183</v>
      </c>
      <c r="C7" s="64"/>
    </row>
    <row r="8" spans="1:3">
      <c r="A8" s="82" t="s">
        <v>362</v>
      </c>
      <c r="B8" s="67" t="s">
        <v>183</v>
      </c>
      <c r="C8" s="64"/>
    </row>
    <row r="9" spans="1:3">
      <c r="A9" s="82" t="s">
        <v>363</v>
      </c>
      <c r="B9" s="67" t="s">
        <v>183</v>
      </c>
      <c r="C9" s="64"/>
    </row>
    <row r="10" spans="1:3">
      <c r="A10" s="82" t="s">
        <v>364</v>
      </c>
      <c r="B10" s="67" t="s">
        <v>183</v>
      </c>
      <c r="C10" s="64" t="s">
        <v>435</v>
      </c>
    </row>
    <row r="11" spans="1:3">
      <c r="A11" s="82" t="s">
        <v>365</v>
      </c>
      <c r="B11" s="67" t="s">
        <v>183</v>
      </c>
      <c r="C11" s="64" t="s">
        <v>633</v>
      </c>
    </row>
    <row r="12" spans="1:3">
      <c r="A12" s="82" t="s">
        <v>391</v>
      </c>
      <c r="B12" s="67" t="s">
        <v>183</v>
      </c>
      <c r="C12" s="64"/>
    </row>
    <row r="13" spans="1:3">
      <c r="A13" s="82" t="s">
        <v>366</v>
      </c>
      <c r="B13" s="67" t="s">
        <v>183</v>
      </c>
      <c r="C13" s="64" t="s">
        <v>634</v>
      </c>
    </row>
    <row r="14" spans="1:3">
      <c r="A14" s="82" t="s">
        <v>333</v>
      </c>
      <c r="B14" s="67" t="s">
        <v>183</v>
      </c>
      <c r="C14" s="64" t="s">
        <v>390</v>
      </c>
    </row>
  </sheetData>
  <phoneticPr fontId="2"/>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36C5A-35A2-4D6D-AB62-5266C5FB067B}">
  <dimension ref="A1:C11"/>
  <sheetViews>
    <sheetView workbookViewId="0">
      <selection activeCell="A12" sqref="A12"/>
    </sheetView>
  </sheetViews>
  <sheetFormatPr defaultColWidth="8.625" defaultRowHeight="11.25"/>
  <cols>
    <col min="1" max="1" width="39.125" style="62" bestFit="1" customWidth="1"/>
    <col min="2" max="2" width="6.625" style="62" bestFit="1" customWidth="1"/>
    <col min="3" max="3" width="38.125" style="62" customWidth="1"/>
    <col min="4" max="16384" width="8.625" style="62"/>
  </cols>
  <sheetData>
    <row r="1" spans="1:3">
      <c r="A1" s="70" t="s">
        <v>200</v>
      </c>
      <c r="C1" s="70"/>
    </row>
    <row r="2" spans="1:3">
      <c r="A2" s="63" t="s">
        <v>181</v>
      </c>
      <c r="B2" s="63"/>
      <c r="C2" s="63" t="s">
        <v>193</v>
      </c>
    </row>
    <row r="3" spans="1:3">
      <c r="A3" s="66" t="s">
        <v>445</v>
      </c>
      <c r="B3" s="67" t="s">
        <v>183</v>
      </c>
      <c r="C3" s="71"/>
    </row>
    <row r="4" spans="1:3">
      <c r="A4" s="66" t="s">
        <v>446</v>
      </c>
      <c r="B4" s="67" t="s">
        <v>183</v>
      </c>
      <c r="C4" s="71"/>
    </row>
    <row r="5" spans="1:3">
      <c r="A5" s="66" t="s">
        <v>447</v>
      </c>
      <c r="B5" s="67" t="s">
        <v>183</v>
      </c>
      <c r="C5" s="71"/>
    </row>
    <row r="6" spans="1:3">
      <c r="A6" s="66" t="s">
        <v>448</v>
      </c>
      <c r="B6" s="67" t="s">
        <v>183</v>
      </c>
      <c r="C6" s="71"/>
    </row>
    <row r="7" spans="1:3">
      <c r="A7" s="66" t="s">
        <v>449</v>
      </c>
      <c r="B7" s="67" t="s">
        <v>183</v>
      </c>
      <c r="C7" s="71"/>
    </row>
    <row r="8" spans="1:3">
      <c r="A8" s="66" t="s">
        <v>635</v>
      </c>
      <c r="B8" s="67" t="s">
        <v>183</v>
      </c>
      <c r="C8" s="71" t="s">
        <v>636</v>
      </c>
    </row>
    <row r="9" spans="1:3">
      <c r="A9" s="152" t="s">
        <v>337</v>
      </c>
      <c r="B9" s="67" t="s">
        <v>183</v>
      </c>
      <c r="C9" s="71"/>
    </row>
    <row r="10" spans="1:3">
      <c r="A10" s="152" t="s">
        <v>454</v>
      </c>
      <c r="B10" s="67" t="s">
        <v>183</v>
      </c>
      <c r="C10" s="71"/>
    </row>
    <row r="11" spans="1:3">
      <c r="A11" s="62" t="s">
        <v>644</v>
      </c>
    </row>
  </sheetData>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852D-ADE2-4721-B205-979C4A4C2151}">
  <dimension ref="A1:G34"/>
  <sheetViews>
    <sheetView workbookViewId="0">
      <selection activeCell="I9" sqref="I9"/>
    </sheetView>
  </sheetViews>
  <sheetFormatPr defaultColWidth="8.625" defaultRowHeight="11.25"/>
  <cols>
    <col min="1" max="1" width="3.375" style="81" customWidth="1"/>
    <col min="2" max="2" width="20.125" style="81" customWidth="1"/>
    <col min="3" max="3" width="16.375" style="81" customWidth="1"/>
    <col min="4" max="4" width="12.875" style="81" customWidth="1"/>
    <col min="5" max="5" width="11.75" style="81" customWidth="1"/>
    <col min="6" max="6" width="11.625" style="81" customWidth="1"/>
    <col min="7" max="7" width="9.125" style="81" customWidth="1"/>
    <col min="8" max="19" width="11.625" style="81" customWidth="1"/>
    <col min="20" max="16384" width="8.625" style="81"/>
  </cols>
  <sheetData>
    <row r="1" spans="1:7" s="73" customFormat="1">
      <c r="A1" s="102" t="s">
        <v>450</v>
      </c>
      <c r="C1" s="204" t="s">
        <v>515</v>
      </c>
    </row>
    <row r="2" spans="1:7" s="73" customFormat="1">
      <c r="A2" s="102"/>
      <c r="C2" s="205" t="s">
        <v>413</v>
      </c>
    </row>
    <row r="3" spans="1:7" s="73" customFormat="1">
      <c r="A3" s="102"/>
      <c r="B3" s="73" t="s">
        <v>438</v>
      </c>
    </row>
    <row r="4" spans="1:7">
      <c r="B4" s="242" t="s">
        <v>612</v>
      </c>
      <c r="C4" s="243">
        <v>0</v>
      </c>
      <c r="D4" s="81" t="s">
        <v>613</v>
      </c>
    </row>
    <row r="5" spans="1:7" s="73" customFormat="1" ht="12" thickBot="1">
      <c r="A5" s="102"/>
      <c r="B5" s="102" t="s">
        <v>413</v>
      </c>
    </row>
    <row r="6" spans="1:7" s="73" customFormat="1" ht="12" thickBot="1">
      <c r="A6" s="102"/>
      <c r="B6" s="96" t="s">
        <v>437</v>
      </c>
      <c r="C6" s="148">
        <f>F31</f>
        <v>299005.12727272732</v>
      </c>
    </row>
    <row r="7" spans="1:7" s="73" customFormat="1">
      <c r="A7" s="102"/>
      <c r="B7" s="116" t="s">
        <v>440</v>
      </c>
      <c r="C7" s="149">
        <f>G31</f>
        <v>29.900512727272726</v>
      </c>
    </row>
    <row r="8" spans="1:7" s="73" customFormat="1">
      <c r="A8" s="102"/>
      <c r="B8" s="269" t="s">
        <v>853</v>
      </c>
    </row>
    <row r="9" spans="1:7" s="73" customFormat="1">
      <c r="A9" s="102"/>
      <c r="B9" s="142" t="s">
        <v>854</v>
      </c>
      <c r="C9" s="271">
        <f>F33</f>
        <v>8666.6666666666661</v>
      </c>
    </row>
    <row r="10" spans="1:7" s="73" customFormat="1">
      <c r="A10" s="102"/>
      <c r="B10" s="116" t="s">
        <v>440</v>
      </c>
      <c r="C10" s="270">
        <f>G33</f>
        <v>0.86666666666666659</v>
      </c>
    </row>
    <row r="11" spans="1:7" s="73" customFormat="1">
      <c r="A11" s="102"/>
      <c r="B11" s="116"/>
      <c r="C11" s="224"/>
    </row>
    <row r="12" spans="1:7" s="73" customFormat="1">
      <c r="A12" s="253"/>
      <c r="B12" s="254" t="s">
        <v>309</v>
      </c>
      <c r="C12" s="206"/>
      <c r="D12" s="206"/>
      <c r="E12" s="206"/>
      <c r="F12" s="206"/>
      <c r="G12" s="206"/>
    </row>
    <row r="13" spans="1:7" s="73" customFormat="1">
      <c r="A13" s="102"/>
    </row>
    <row r="14" spans="1:7" s="73" customFormat="1">
      <c r="B14" s="240" t="s">
        <v>607</v>
      </c>
      <c r="C14" s="240"/>
      <c r="D14" s="240"/>
      <c r="E14" s="240"/>
      <c r="F14" s="240"/>
      <c r="G14" s="240"/>
    </row>
    <row r="15" spans="1:7" s="73" customFormat="1">
      <c r="B15" s="137" t="s">
        <v>293</v>
      </c>
      <c r="C15" s="241">
        <v>0.4</v>
      </c>
      <c r="D15" s="138" t="s">
        <v>314</v>
      </c>
      <c r="E15" s="240"/>
      <c r="F15" s="240"/>
      <c r="G15" s="135"/>
    </row>
    <row r="16" spans="1:7" s="73" customFormat="1">
      <c r="B16" s="137" t="s">
        <v>294</v>
      </c>
      <c r="C16" s="241">
        <v>1.1000000000000001</v>
      </c>
      <c r="D16" s="138" t="s">
        <v>314</v>
      </c>
      <c r="E16" s="240"/>
      <c r="F16" s="240"/>
      <c r="G16" s="135"/>
    </row>
    <row r="17" spans="2:7">
      <c r="B17" s="137" t="s">
        <v>608</v>
      </c>
      <c r="C17" s="241">
        <v>1.1000000000000001</v>
      </c>
      <c r="D17" s="138" t="s">
        <v>314</v>
      </c>
    </row>
    <row r="18" spans="2:7">
      <c r="B18" s="137" t="s">
        <v>609</v>
      </c>
      <c r="C18" s="241">
        <v>5</v>
      </c>
      <c r="D18" s="138" t="s">
        <v>610</v>
      </c>
    </row>
    <row r="19" spans="2:7">
      <c r="B19" s="137" t="s">
        <v>315</v>
      </c>
      <c r="C19" s="241">
        <v>1</v>
      </c>
      <c r="D19" s="138"/>
    </row>
    <row r="20" spans="2:7">
      <c r="B20" s="388" t="s">
        <v>611</v>
      </c>
      <c r="C20" s="388"/>
    </row>
    <row r="21" spans="2:7">
      <c r="B21" s="137" t="s">
        <v>614</v>
      </c>
      <c r="C21" s="137">
        <f>発生量処理能力!D29</f>
        <v>2.7</v>
      </c>
      <c r="D21" s="138">
        <f>IF(C4=0,0,1/C21)</f>
        <v>0</v>
      </c>
    </row>
    <row r="22" spans="2:7">
      <c r="B22" s="138"/>
      <c r="C22" s="139"/>
      <c r="E22" s="138"/>
    </row>
    <row r="23" spans="2:7" ht="24.75">
      <c r="B23" s="137"/>
      <c r="C23" s="244" t="s">
        <v>316</v>
      </c>
      <c r="D23" s="96"/>
      <c r="E23" s="136" t="s">
        <v>615</v>
      </c>
      <c r="F23" s="140" t="s">
        <v>344</v>
      </c>
      <c r="G23" s="140" t="s">
        <v>343</v>
      </c>
    </row>
    <row r="24" spans="2:7">
      <c r="B24" s="141" t="s">
        <v>292</v>
      </c>
      <c r="C24" s="143">
        <f>発生量処理能力!D33</f>
        <v>14605</v>
      </c>
      <c r="D24" s="389" t="s">
        <v>293</v>
      </c>
      <c r="E24" s="385">
        <f>(C25+C24)*(1-D21)</f>
        <v>64262</v>
      </c>
      <c r="F24" s="386">
        <f>E24/C15/C18*(1+C19)</f>
        <v>64262</v>
      </c>
      <c r="G24" s="387">
        <f>F24/10000</f>
        <v>6.4261999999999997</v>
      </c>
    </row>
    <row r="25" spans="2:7">
      <c r="B25" s="141" t="s">
        <v>293</v>
      </c>
      <c r="C25" s="143">
        <f>発生量処理能力!D34</f>
        <v>49657</v>
      </c>
      <c r="D25" s="390"/>
      <c r="E25" s="385"/>
      <c r="F25" s="386"/>
      <c r="G25" s="387"/>
    </row>
    <row r="26" spans="2:7">
      <c r="B26" s="141" t="s">
        <v>294</v>
      </c>
      <c r="C26" s="143">
        <f>発生量処理能力!D35</f>
        <v>87630</v>
      </c>
      <c r="D26" s="382" t="s">
        <v>294</v>
      </c>
      <c r="E26" s="385">
        <f>SUM(C26:C29)*(1-D21)</f>
        <v>227838</v>
      </c>
      <c r="F26" s="386">
        <f>E26/C16/C18*(1+C19)</f>
        <v>82850.181818181809</v>
      </c>
      <c r="G26" s="387">
        <f>F26/10000</f>
        <v>8.2850181818181809</v>
      </c>
    </row>
    <row r="27" spans="2:7">
      <c r="B27" s="141" t="s">
        <v>295</v>
      </c>
      <c r="C27" s="143">
        <f>発生量処理能力!D36</f>
        <v>119761</v>
      </c>
      <c r="D27" s="383"/>
      <c r="E27" s="385"/>
      <c r="F27" s="386"/>
      <c r="G27" s="387"/>
    </row>
    <row r="28" spans="2:7">
      <c r="B28" s="141" t="s">
        <v>296</v>
      </c>
      <c r="C28" s="143">
        <f>発生量処理能力!D37</f>
        <v>8763</v>
      </c>
      <c r="D28" s="383"/>
      <c r="E28" s="385">
        <f t="shared" ref="E28" si="0">(C29+C28)-(C29+C28)/C25</f>
        <v>20446.588235294119</v>
      </c>
      <c r="F28" s="386"/>
      <c r="G28" s="387"/>
    </row>
    <row r="29" spans="2:7">
      <c r="B29" s="141" t="s">
        <v>297</v>
      </c>
      <c r="C29" s="143">
        <f>発生量処理能力!D38</f>
        <v>11684</v>
      </c>
      <c r="D29" s="384"/>
      <c r="E29" s="385"/>
      <c r="F29" s="386"/>
      <c r="G29" s="387"/>
    </row>
    <row r="30" spans="2:7">
      <c r="B30" s="141" t="str">
        <f>発生量処理能力!B40</f>
        <v>津波堆積物</v>
      </c>
      <c r="C30" s="143">
        <f>発生量処理能力!D40</f>
        <v>417705.60000000003</v>
      </c>
      <c r="D30" s="126" t="str">
        <f>B30</f>
        <v>津波堆積物</v>
      </c>
      <c r="E30" s="144">
        <f>C30*(1-D21)</f>
        <v>417705.60000000003</v>
      </c>
      <c r="F30" s="145">
        <f>E30/C17/C18*(1+C19)</f>
        <v>151892.94545454546</v>
      </c>
      <c r="G30" s="146">
        <f>F30/10000</f>
        <v>15.189294545454546</v>
      </c>
    </row>
    <row r="31" spans="2:7">
      <c r="B31" s="142" t="s">
        <v>306</v>
      </c>
      <c r="C31" s="143">
        <f>SUM(C24:C30)</f>
        <v>709805.60000000009</v>
      </c>
      <c r="D31" s="142" t="s">
        <v>306</v>
      </c>
      <c r="E31" s="147">
        <f>SUM(E24:E30)</f>
        <v>730252.18823529407</v>
      </c>
      <c r="F31" s="147">
        <f>SUM(F24:F30)</f>
        <v>299005.12727272732</v>
      </c>
      <c r="G31" s="245">
        <f>SUM(G24:G30)</f>
        <v>29.900512727272726</v>
      </c>
    </row>
    <row r="32" spans="2:7">
      <c r="B32" s="73" t="s">
        <v>616</v>
      </c>
    </row>
    <row r="33" spans="2:7" s="73" customFormat="1">
      <c r="B33" s="99" t="s">
        <v>617</v>
      </c>
      <c r="C33" s="122">
        <f>発生量処理能力!D86</f>
        <v>6500</v>
      </c>
      <c r="F33" s="246">
        <f>C33/0.5/3*(1+C19)</f>
        <v>8666.6666666666661</v>
      </c>
      <c r="G33" s="146">
        <f>F33/10000</f>
        <v>0.86666666666666659</v>
      </c>
    </row>
    <row r="34" spans="2:7" ht="12">
      <c r="B34" s="73" t="s">
        <v>618</v>
      </c>
    </row>
  </sheetData>
  <mergeCells count="9">
    <mergeCell ref="D26:D29"/>
    <mergeCell ref="E26:E29"/>
    <mergeCell ref="F26:F29"/>
    <mergeCell ref="G26:G29"/>
    <mergeCell ref="B20:C20"/>
    <mergeCell ref="D24:D25"/>
    <mergeCell ref="E24:E25"/>
    <mergeCell ref="F24:F25"/>
    <mergeCell ref="G24:G25"/>
  </mergeCells>
  <phoneticPr fontId="2"/>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24AB-9405-4651-B800-CC2664F47992}">
  <dimension ref="A1:C7"/>
  <sheetViews>
    <sheetView workbookViewId="0">
      <selection activeCell="B24" sqref="B24"/>
    </sheetView>
  </sheetViews>
  <sheetFormatPr defaultColWidth="9" defaultRowHeight="11.25"/>
  <cols>
    <col min="1" max="1" width="33.5" style="62" customWidth="1"/>
    <col min="2" max="2" width="9" style="62"/>
    <col min="3" max="3" width="38" style="62" customWidth="1"/>
    <col min="4" max="16384" width="9" style="62"/>
  </cols>
  <sheetData>
    <row r="1" spans="1:3">
      <c r="A1" s="260" t="s">
        <v>645</v>
      </c>
    </row>
    <row r="2" spans="1:3">
      <c r="A2" s="62" t="s">
        <v>392</v>
      </c>
    </row>
    <row r="3" spans="1:3">
      <c r="A3" s="63" t="s">
        <v>181</v>
      </c>
      <c r="B3" s="63"/>
      <c r="C3" s="63" t="s">
        <v>193</v>
      </c>
    </row>
    <row r="4" spans="1:3">
      <c r="A4" s="72" t="s">
        <v>273</v>
      </c>
      <c r="B4" s="67" t="s">
        <v>183</v>
      </c>
      <c r="C4" s="64"/>
    </row>
    <row r="5" spans="1:3">
      <c r="A5" s="72" t="s">
        <v>396</v>
      </c>
      <c r="B5" s="67" t="s">
        <v>183</v>
      </c>
      <c r="C5" s="64" t="s">
        <v>397</v>
      </c>
    </row>
    <row r="6" spans="1:3">
      <c r="A6" s="64" t="s">
        <v>393</v>
      </c>
      <c r="B6" s="67" t="s">
        <v>183</v>
      </c>
      <c r="C6" s="64"/>
    </row>
    <row r="7" spans="1:3">
      <c r="A7" s="64" t="s">
        <v>394</v>
      </c>
      <c r="B7" s="67" t="s">
        <v>183</v>
      </c>
      <c r="C7" s="64" t="s">
        <v>395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226D6-FE9A-4B16-88A7-F95716EE2CFE}">
  <dimension ref="A1:C79"/>
  <sheetViews>
    <sheetView workbookViewId="0">
      <selection activeCell="A85" sqref="A85"/>
    </sheetView>
  </sheetViews>
  <sheetFormatPr defaultColWidth="8.625" defaultRowHeight="11.25"/>
  <cols>
    <col min="1" max="1" width="34.375" style="65" bestFit="1" customWidth="1"/>
    <col min="2" max="2" width="5.625" style="65" bestFit="1" customWidth="1"/>
    <col min="3" max="3" width="76.125" style="65" bestFit="1" customWidth="1"/>
    <col min="4" max="16384" width="8.625" style="65"/>
  </cols>
  <sheetData>
    <row r="1" spans="1:3">
      <c r="A1" s="65" t="s">
        <v>114</v>
      </c>
    </row>
    <row r="2" spans="1:3">
      <c r="A2" s="65" t="s">
        <v>339</v>
      </c>
    </row>
    <row r="4" spans="1:3">
      <c r="A4" s="93" t="s">
        <v>116</v>
      </c>
      <c r="B4" s="63" t="s">
        <v>117</v>
      </c>
      <c r="C4" s="63" t="s">
        <v>193</v>
      </c>
    </row>
    <row r="5" spans="1:3">
      <c r="A5" s="66" t="s">
        <v>479</v>
      </c>
      <c r="B5" s="66" t="s">
        <v>118</v>
      </c>
      <c r="C5" s="66" t="s">
        <v>195</v>
      </c>
    </row>
    <row r="7" spans="1:3">
      <c r="A7" s="93" t="s">
        <v>345</v>
      </c>
      <c r="B7" s="63" t="s">
        <v>117</v>
      </c>
      <c r="C7" s="63" t="s">
        <v>193</v>
      </c>
    </row>
    <row r="8" spans="1:3">
      <c r="A8" s="66" t="s">
        <v>119</v>
      </c>
      <c r="B8" s="66" t="s">
        <v>118</v>
      </c>
      <c r="C8" s="66" t="s">
        <v>206</v>
      </c>
    </row>
    <row r="9" spans="1:3">
      <c r="A9" s="66" t="s">
        <v>122</v>
      </c>
      <c r="B9" s="66" t="s">
        <v>118</v>
      </c>
      <c r="C9" s="66" t="s">
        <v>338</v>
      </c>
    </row>
    <row r="10" spans="1:3">
      <c r="A10" s="66" t="s">
        <v>120</v>
      </c>
      <c r="B10" s="66" t="s">
        <v>118</v>
      </c>
      <c r="C10" s="66"/>
    </row>
    <row r="11" spans="1:3">
      <c r="A11" s="66" t="s">
        <v>207</v>
      </c>
      <c r="B11" s="66" t="s">
        <v>118</v>
      </c>
      <c r="C11" s="66"/>
    </row>
    <row r="12" spans="1:3">
      <c r="A12" s="66" t="s">
        <v>151</v>
      </c>
      <c r="B12" s="66" t="s">
        <v>118</v>
      </c>
      <c r="C12" s="66"/>
    </row>
    <row r="13" spans="1:3">
      <c r="A13" s="66" t="s">
        <v>121</v>
      </c>
      <c r="B13" s="66" t="s">
        <v>118</v>
      </c>
      <c r="C13" s="66" t="s">
        <v>152</v>
      </c>
    </row>
    <row r="14" spans="1:3">
      <c r="A14" s="93" t="s">
        <v>346</v>
      </c>
      <c r="B14" s="63" t="s">
        <v>117</v>
      </c>
      <c r="C14" s="63"/>
    </row>
    <row r="15" spans="1:3">
      <c r="A15" s="66" t="s">
        <v>137</v>
      </c>
      <c r="B15" s="66" t="s">
        <v>118</v>
      </c>
      <c r="C15" s="66" t="s">
        <v>620</v>
      </c>
    </row>
    <row r="16" spans="1:3">
      <c r="A16" s="66" t="s">
        <v>123</v>
      </c>
      <c r="B16" s="66" t="s">
        <v>118</v>
      </c>
      <c r="C16" s="66" t="s">
        <v>124</v>
      </c>
    </row>
    <row r="17" spans="1:3">
      <c r="A17" s="66" t="s">
        <v>125</v>
      </c>
      <c r="B17" s="66" t="s">
        <v>118</v>
      </c>
      <c r="C17" s="66" t="s">
        <v>126</v>
      </c>
    </row>
    <row r="18" spans="1:3">
      <c r="A18" s="93" t="s">
        <v>347</v>
      </c>
      <c r="B18" s="63" t="s">
        <v>117</v>
      </c>
      <c r="C18" s="63"/>
    </row>
    <row r="19" spans="1:3">
      <c r="A19" s="66" t="s">
        <v>129</v>
      </c>
      <c r="B19" s="66" t="s">
        <v>118</v>
      </c>
      <c r="C19" s="66" t="s">
        <v>130</v>
      </c>
    </row>
    <row r="20" spans="1:3">
      <c r="A20" s="66" t="s">
        <v>131</v>
      </c>
      <c r="B20" s="66" t="s">
        <v>118</v>
      </c>
      <c r="C20" s="66" t="s">
        <v>133</v>
      </c>
    </row>
    <row r="21" spans="1:3">
      <c r="A21" s="66" t="s">
        <v>135</v>
      </c>
      <c r="B21" s="66" t="s">
        <v>118</v>
      </c>
      <c r="C21" s="66" t="s">
        <v>134</v>
      </c>
    </row>
    <row r="22" spans="1:3" ht="12" thickBot="1"/>
    <row r="23" spans="1:3">
      <c r="A23" s="153" t="s">
        <v>622</v>
      </c>
      <c r="B23" s="154" t="s">
        <v>148</v>
      </c>
      <c r="C23" s="155" t="s">
        <v>193</v>
      </c>
    </row>
    <row r="24" spans="1:3">
      <c r="A24" s="156" t="s">
        <v>115</v>
      </c>
      <c r="B24" s="66" t="s">
        <v>118</v>
      </c>
      <c r="C24" s="157" t="s">
        <v>621</v>
      </c>
    </row>
    <row r="25" spans="1:3">
      <c r="A25" s="156" t="s">
        <v>138</v>
      </c>
      <c r="B25" s="66" t="s">
        <v>118</v>
      </c>
      <c r="C25" s="157" t="s">
        <v>350</v>
      </c>
    </row>
    <row r="26" spans="1:3">
      <c r="A26" s="156" t="s">
        <v>349</v>
      </c>
      <c r="B26" s="66" t="s">
        <v>118</v>
      </c>
      <c r="C26" s="157" t="s">
        <v>350</v>
      </c>
    </row>
    <row r="27" spans="1:3">
      <c r="A27" s="156" t="s">
        <v>146</v>
      </c>
      <c r="B27" s="66" t="s">
        <v>118</v>
      </c>
      <c r="C27" s="157" t="s">
        <v>351</v>
      </c>
    </row>
    <row r="28" spans="1:3">
      <c r="A28" s="156" t="s">
        <v>147</v>
      </c>
      <c r="B28" s="66" t="s">
        <v>118</v>
      </c>
      <c r="C28" s="157" t="s">
        <v>351</v>
      </c>
    </row>
    <row r="29" spans="1:3" ht="12" thickBot="1">
      <c r="A29" s="158" t="s">
        <v>132</v>
      </c>
      <c r="B29" s="159" t="s">
        <v>118</v>
      </c>
      <c r="C29" s="160" t="s">
        <v>351</v>
      </c>
    </row>
    <row r="31" spans="1:3">
      <c r="A31" s="93" t="s">
        <v>139</v>
      </c>
      <c r="B31" s="63" t="s">
        <v>149</v>
      </c>
      <c r="C31" s="66"/>
    </row>
    <row r="32" spans="1:3">
      <c r="A32" s="66" t="s">
        <v>140</v>
      </c>
      <c r="B32" s="66" t="s">
        <v>118</v>
      </c>
      <c r="C32" s="66"/>
    </row>
    <row r="34" spans="1:3">
      <c r="A34" s="93" t="s">
        <v>141</v>
      </c>
      <c r="B34" s="63" t="s">
        <v>150</v>
      </c>
      <c r="C34" s="63" t="s">
        <v>193</v>
      </c>
    </row>
    <row r="35" spans="1:3">
      <c r="A35" s="66" t="s">
        <v>637</v>
      </c>
      <c r="B35" s="66" t="s">
        <v>118</v>
      </c>
      <c r="C35" s="66" t="s">
        <v>142</v>
      </c>
    </row>
    <row r="36" spans="1:3">
      <c r="A36" s="66" t="s">
        <v>638</v>
      </c>
      <c r="B36" s="66" t="s">
        <v>118</v>
      </c>
      <c r="C36" s="66" t="s">
        <v>143</v>
      </c>
    </row>
    <row r="37" spans="1:3">
      <c r="A37" s="66" t="s">
        <v>144</v>
      </c>
      <c r="B37" s="66" t="s">
        <v>118</v>
      </c>
      <c r="C37" s="66" t="s">
        <v>145</v>
      </c>
    </row>
    <row r="39" spans="1:3" ht="15" thickBot="1">
      <c r="A39" s="94" t="s">
        <v>455</v>
      </c>
    </row>
    <row r="40" spans="1:3">
      <c r="A40" s="161" t="s">
        <v>388</v>
      </c>
      <c r="B40" s="162" t="s">
        <v>118</v>
      </c>
      <c r="C40" s="163"/>
    </row>
    <row r="41" spans="1:3">
      <c r="A41" s="255" t="s">
        <v>380</v>
      </c>
      <c r="B41" s="66" t="s">
        <v>118</v>
      </c>
      <c r="C41" s="157"/>
    </row>
    <row r="42" spans="1:3">
      <c r="A42" s="255" t="s">
        <v>386</v>
      </c>
      <c r="B42" s="66" t="s">
        <v>118</v>
      </c>
      <c r="C42" s="157"/>
    </row>
    <row r="43" spans="1:3">
      <c r="A43" s="255" t="s">
        <v>381</v>
      </c>
      <c r="B43" s="66" t="s">
        <v>118</v>
      </c>
      <c r="C43" s="157"/>
    </row>
    <row r="44" spans="1:3">
      <c r="A44" s="255" t="s">
        <v>382</v>
      </c>
      <c r="B44" s="66" t="s">
        <v>118</v>
      </c>
      <c r="C44" s="157"/>
    </row>
    <row r="45" spans="1:3">
      <c r="A45" s="255" t="s">
        <v>383</v>
      </c>
      <c r="B45" s="66" t="s">
        <v>118</v>
      </c>
      <c r="C45" s="157"/>
    </row>
    <row r="46" spans="1:3">
      <c r="A46" s="255" t="s">
        <v>384</v>
      </c>
      <c r="B46" s="66" t="s">
        <v>118</v>
      </c>
      <c r="C46" s="157"/>
    </row>
    <row r="47" spans="1:3">
      <c r="A47" s="255" t="s">
        <v>389</v>
      </c>
      <c r="B47" s="66" t="s">
        <v>118</v>
      </c>
      <c r="C47" s="157"/>
    </row>
    <row r="48" spans="1:3">
      <c r="A48" s="255" t="s">
        <v>385</v>
      </c>
      <c r="B48" s="66" t="s">
        <v>118</v>
      </c>
      <c r="C48" s="157"/>
    </row>
    <row r="49" spans="1:3">
      <c r="A49" s="156" t="s">
        <v>639</v>
      </c>
      <c r="B49" s="66" t="s">
        <v>118</v>
      </c>
      <c r="C49" s="157" t="s">
        <v>647</v>
      </c>
    </row>
    <row r="50" spans="1:3">
      <c r="A50" s="177" t="s">
        <v>477</v>
      </c>
      <c r="B50" s="66" t="s">
        <v>118</v>
      </c>
      <c r="C50" s="178"/>
    </row>
    <row r="51" spans="1:3" ht="12" thickBot="1">
      <c r="A51" s="158" t="s">
        <v>436</v>
      </c>
      <c r="B51" s="159" t="s">
        <v>118</v>
      </c>
      <c r="C51" s="160"/>
    </row>
    <row r="52" spans="1:3">
      <c r="A52" s="65" t="s">
        <v>640</v>
      </c>
    </row>
    <row r="53" spans="1:3" ht="12">
      <c r="A53" s="172" t="s">
        <v>478</v>
      </c>
    </row>
    <row r="54" spans="1:3">
      <c r="A54" s="173"/>
    </row>
    <row r="55" spans="1:3" ht="12.75">
      <c r="A55" s="174" t="s">
        <v>475</v>
      </c>
    </row>
    <row r="56" spans="1:3">
      <c r="A56" s="173"/>
    </row>
    <row r="57" spans="1:3">
      <c r="A57" s="173"/>
    </row>
    <row r="58" spans="1:3">
      <c r="A58" s="173"/>
    </row>
    <row r="59" spans="1:3">
      <c r="A59" s="173"/>
    </row>
    <row r="60" spans="1:3">
      <c r="A60" s="173"/>
    </row>
    <row r="61" spans="1:3">
      <c r="A61" s="173"/>
    </row>
    <row r="62" spans="1:3">
      <c r="A62" s="173"/>
    </row>
    <row r="63" spans="1:3">
      <c r="A63" s="173"/>
    </row>
    <row r="64" spans="1:3">
      <c r="A64" s="173"/>
    </row>
    <row r="65" spans="1:3">
      <c r="A65" s="173"/>
    </row>
    <row r="66" spans="1:3">
      <c r="A66" s="173"/>
    </row>
    <row r="67" spans="1:3">
      <c r="A67" s="175"/>
    </row>
    <row r="68" spans="1:3">
      <c r="A68" s="173"/>
    </row>
    <row r="69" spans="1:3">
      <c r="A69" s="173"/>
    </row>
    <row r="70" spans="1:3">
      <c r="A70" s="173"/>
    </row>
    <row r="71" spans="1:3" ht="12">
      <c r="A71" s="274" t="s">
        <v>476</v>
      </c>
      <c r="B71" s="274"/>
      <c r="C71" s="274"/>
    </row>
    <row r="72" spans="1:3" ht="12">
      <c r="A72" s="274" t="s">
        <v>648</v>
      </c>
      <c r="B72" s="274"/>
      <c r="C72" s="274"/>
    </row>
    <row r="73" spans="1:3" ht="12">
      <c r="A73" s="274" t="s">
        <v>649</v>
      </c>
      <c r="B73" s="274"/>
      <c r="C73" s="274"/>
    </row>
    <row r="74" spans="1:3" ht="12">
      <c r="A74" s="274" t="s">
        <v>650</v>
      </c>
      <c r="B74" s="274"/>
      <c r="C74" s="274"/>
    </row>
    <row r="75" spans="1:3" ht="12">
      <c r="A75" s="274" t="s">
        <v>651</v>
      </c>
      <c r="B75" s="274"/>
      <c r="C75" s="274"/>
    </row>
    <row r="76" spans="1:3" ht="12">
      <c r="A76" s="274" t="s">
        <v>652</v>
      </c>
      <c r="B76" s="274"/>
      <c r="C76" s="274"/>
    </row>
    <row r="77" spans="1:3" ht="12">
      <c r="A77" s="176"/>
    </row>
    <row r="78" spans="1:3" ht="12">
      <c r="A78" s="176"/>
    </row>
    <row r="79" spans="1:3" ht="18.75">
      <c r="A79"/>
    </row>
  </sheetData>
  <mergeCells count="6">
    <mergeCell ref="A76:C76"/>
    <mergeCell ref="A71:C71"/>
    <mergeCell ref="A72:C72"/>
    <mergeCell ref="A73:C73"/>
    <mergeCell ref="A74:C74"/>
    <mergeCell ref="A75:C75"/>
  </mergeCells>
  <phoneticPr fontId="2"/>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F470-A9E4-450D-992E-C13237AE992E}">
  <dimension ref="A1:E8"/>
  <sheetViews>
    <sheetView workbookViewId="0">
      <selection activeCell="E14" sqref="E14"/>
    </sheetView>
  </sheetViews>
  <sheetFormatPr defaultColWidth="8.625" defaultRowHeight="21.6" customHeight="1"/>
  <cols>
    <col min="1" max="1" width="18.25" style="62" bestFit="1" customWidth="1"/>
    <col min="2" max="5" width="13.25" style="62" customWidth="1"/>
    <col min="6" max="16384" width="8.625" style="62"/>
  </cols>
  <sheetData>
    <row r="1" spans="1:5" ht="21.6" customHeight="1">
      <c r="A1" s="66" t="s">
        <v>203</v>
      </c>
      <c r="B1" s="275" t="s">
        <v>204</v>
      </c>
      <c r="C1" s="276"/>
      <c r="D1" s="276"/>
      <c r="E1" s="277"/>
    </row>
    <row r="2" spans="1:5" ht="21.6" customHeight="1">
      <c r="A2" s="66" t="s">
        <v>196</v>
      </c>
      <c r="B2" s="66"/>
      <c r="C2" s="66"/>
      <c r="D2" s="66"/>
      <c r="E2" s="66"/>
    </row>
    <row r="3" spans="1:5" ht="21.6" customHeight="1">
      <c r="A3" s="66" t="s">
        <v>197</v>
      </c>
      <c r="B3" s="66"/>
      <c r="C3" s="66"/>
      <c r="D3" s="66"/>
      <c r="E3" s="66"/>
    </row>
    <row r="4" spans="1:5" ht="21.6" customHeight="1">
      <c r="A4" s="66" t="s">
        <v>198</v>
      </c>
      <c r="B4" s="66"/>
      <c r="C4" s="66"/>
      <c r="D4" s="66"/>
      <c r="E4" s="66"/>
    </row>
    <row r="5" spans="1:5" ht="21.6" customHeight="1">
      <c r="A5" s="66" t="s">
        <v>199</v>
      </c>
      <c r="B5" s="66"/>
      <c r="C5" s="66"/>
      <c r="D5" s="66"/>
      <c r="E5" s="66"/>
    </row>
    <row r="6" spans="1:5" ht="21.6" customHeight="1">
      <c r="A6" s="66" t="s">
        <v>200</v>
      </c>
      <c r="B6" s="66"/>
      <c r="C6" s="66"/>
      <c r="D6" s="66"/>
      <c r="E6" s="66"/>
    </row>
    <row r="7" spans="1:5" ht="21.6" customHeight="1">
      <c r="A7" s="66" t="s">
        <v>201</v>
      </c>
      <c r="B7" s="66"/>
      <c r="C7" s="66"/>
      <c r="D7" s="66"/>
      <c r="E7" s="66"/>
    </row>
    <row r="8" spans="1:5" ht="21.6" customHeight="1">
      <c r="A8" s="66" t="s">
        <v>202</v>
      </c>
      <c r="B8" s="66"/>
      <c r="C8" s="66"/>
      <c r="D8" s="66"/>
      <c r="E8" s="66"/>
    </row>
  </sheetData>
  <mergeCells count="1">
    <mergeCell ref="B1:E1"/>
  </mergeCells>
  <phoneticPr fontId="2"/>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96A8-EED1-44C4-83AE-737D247F9D7D}">
  <dimension ref="A1:C18"/>
  <sheetViews>
    <sheetView workbookViewId="0">
      <selection activeCell="A23" sqref="A23"/>
    </sheetView>
  </sheetViews>
  <sheetFormatPr defaultColWidth="8.625" defaultRowHeight="11.25"/>
  <cols>
    <col min="1" max="1" width="43.875" style="62" bestFit="1" customWidth="1"/>
    <col min="2" max="2" width="5.625" style="84" bestFit="1" customWidth="1"/>
    <col min="3" max="3" width="51.625" style="62" bestFit="1" customWidth="1"/>
    <col min="4" max="16384" width="8.625" style="62"/>
  </cols>
  <sheetData>
    <row r="1" spans="1:3">
      <c r="A1" s="62" t="s">
        <v>194</v>
      </c>
    </row>
    <row r="2" spans="1:3">
      <c r="A2" s="67" t="s">
        <v>181</v>
      </c>
      <c r="B2" s="67"/>
      <c r="C2" s="67" t="s">
        <v>193</v>
      </c>
    </row>
    <row r="3" spans="1:3">
      <c r="A3" s="64" t="s">
        <v>182</v>
      </c>
      <c r="B3" s="67" t="s">
        <v>183</v>
      </c>
      <c r="C3" s="64"/>
    </row>
    <row r="4" spans="1:3">
      <c r="A4" s="64" t="s">
        <v>152</v>
      </c>
      <c r="B4" s="67" t="s">
        <v>183</v>
      </c>
      <c r="C4" s="64" t="s">
        <v>187</v>
      </c>
    </row>
    <row r="5" spans="1:3">
      <c r="A5" s="64" t="s">
        <v>184</v>
      </c>
      <c r="B5" s="67" t="s">
        <v>183</v>
      </c>
      <c r="C5" s="64" t="s">
        <v>189</v>
      </c>
    </row>
    <row r="6" spans="1:3">
      <c r="A6" s="64" t="s">
        <v>481</v>
      </c>
      <c r="B6" s="67"/>
      <c r="C6" s="64" t="s">
        <v>623</v>
      </c>
    </row>
    <row r="7" spans="1:3">
      <c r="A7" s="64" t="s">
        <v>482</v>
      </c>
      <c r="B7" s="67"/>
      <c r="C7" s="64" t="s">
        <v>625</v>
      </c>
    </row>
    <row r="8" spans="1:3">
      <c r="A8" s="64" t="s">
        <v>483</v>
      </c>
      <c r="B8" s="67"/>
      <c r="C8" s="64" t="s">
        <v>624</v>
      </c>
    </row>
    <row r="9" spans="1:3">
      <c r="A9" s="64" t="s">
        <v>185</v>
      </c>
      <c r="B9" s="67" t="s">
        <v>183</v>
      </c>
      <c r="C9" s="64" t="s">
        <v>190</v>
      </c>
    </row>
    <row r="10" spans="1:3">
      <c r="A10" s="64" t="s">
        <v>208</v>
      </c>
      <c r="B10" s="67" t="s">
        <v>183</v>
      </c>
      <c r="C10" s="64" t="s">
        <v>190</v>
      </c>
    </row>
    <row r="11" spans="1:3">
      <c r="A11" s="64" t="s">
        <v>191</v>
      </c>
      <c r="B11" s="67" t="s">
        <v>183</v>
      </c>
      <c r="C11" s="64" t="s">
        <v>192</v>
      </c>
    </row>
    <row r="12" spans="1:3">
      <c r="A12" s="64" t="s">
        <v>186</v>
      </c>
      <c r="B12" s="67" t="s">
        <v>183</v>
      </c>
      <c r="C12" s="64" t="s">
        <v>189</v>
      </c>
    </row>
    <row r="13" spans="1:3">
      <c r="A13" s="64" t="s">
        <v>626</v>
      </c>
      <c r="B13" s="67" t="s">
        <v>183</v>
      </c>
      <c r="C13" s="64" t="s">
        <v>189</v>
      </c>
    </row>
    <row r="14" spans="1:3">
      <c r="A14" s="64" t="s">
        <v>209</v>
      </c>
      <c r="B14" s="67" t="s">
        <v>183</v>
      </c>
      <c r="C14" s="64" t="s">
        <v>189</v>
      </c>
    </row>
    <row r="15" spans="1:3">
      <c r="A15" s="64" t="s">
        <v>188</v>
      </c>
      <c r="B15" s="67" t="s">
        <v>183</v>
      </c>
      <c r="C15" s="64" t="s">
        <v>627</v>
      </c>
    </row>
    <row r="16" spans="1:3">
      <c r="A16" s="256" t="s">
        <v>332</v>
      </c>
      <c r="B16" s="67" t="s">
        <v>183</v>
      </c>
      <c r="C16" s="64" t="s">
        <v>340</v>
      </c>
    </row>
    <row r="17" spans="1:3">
      <c r="A17" s="64" t="s">
        <v>480</v>
      </c>
      <c r="B17" s="67" t="s">
        <v>183</v>
      </c>
      <c r="C17" s="64" t="s">
        <v>628</v>
      </c>
    </row>
    <row r="18" spans="1:3">
      <c r="A18" s="62" t="s">
        <v>641</v>
      </c>
    </row>
  </sheetData>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0017-9977-419A-9A19-A9B2CD57E796}">
  <dimension ref="A1:E25"/>
  <sheetViews>
    <sheetView workbookViewId="0">
      <selection activeCell="E24" sqref="E24"/>
    </sheetView>
  </sheetViews>
  <sheetFormatPr defaultColWidth="8.625" defaultRowHeight="13.5"/>
  <cols>
    <col min="1" max="1" width="30.125" style="60" bestFit="1" customWidth="1"/>
    <col min="2" max="2" width="22.5" style="60" customWidth="1"/>
    <col min="3" max="5" width="17" style="60" customWidth="1"/>
    <col min="6" max="6" width="8.625" style="60"/>
    <col min="7" max="7" width="14.875" style="60" customWidth="1"/>
    <col min="8" max="16384" width="8.625" style="60"/>
  </cols>
  <sheetData>
    <row r="1" spans="1:5">
      <c r="A1" s="60" t="s">
        <v>136</v>
      </c>
    </row>
    <row r="2" spans="1:5">
      <c r="A2" s="68" t="s">
        <v>320</v>
      </c>
      <c r="B2" s="68" t="s">
        <v>163</v>
      </c>
      <c r="C2" s="68" t="s">
        <v>155</v>
      </c>
      <c r="D2" s="68" t="s">
        <v>156</v>
      </c>
      <c r="E2" s="68" t="s">
        <v>157</v>
      </c>
    </row>
    <row r="3" spans="1:5">
      <c r="A3" s="61" t="s">
        <v>153</v>
      </c>
      <c r="B3" s="61" t="s">
        <v>174</v>
      </c>
      <c r="C3" s="61"/>
      <c r="D3" s="61"/>
      <c r="E3" s="61"/>
    </row>
    <row r="4" spans="1:5">
      <c r="A4" s="61" t="s">
        <v>154</v>
      </c>
      <c r="B4" s="61" t="s">
        <v>174</v>
      </c>
      <c r="C4" s="61"/>
      <c r="D4" s="61"/>
      <c r="E4" s="61"/>
    </row>
    <row r="5" spans="1:5">
      <c r="A5" s="61" t="s">
        <v>128</v>
      </c>
      <c r="B5" s="61" t="s">
        <v>174</v>
      </c>
      <c r="C5" s="61"/>
      <c r="D5" s="61"/>
      <c r="E5" s="61"/>
    </row>
    <row r="6" spans="1:5">
      <c r="A6" s="61" t="s">
        <v>127</v>
      </c>
      <c r="B6" s="61" t="s">
        <v>174</v>
      </c>
      <c r="C6" s="61"/>
      <c r="D6" s="61"/>
      <c r="E6" s="61"/>
    </row>
    <row r="7" spans="1:5">
      <c r="A7" s="61" t="s">
        <v>158</v>
      </c>
      <c r="B7" s="61" t="s">
        <v>174</v>
      </c>
      <c r="C7" s="61"/>
      <c r="D7" s="61"/>
      <c r="E7" s="61"/>
    </row>
    <row r="8" spans="1:5">
      <c r="A8" s="61" t="s">
        <v>159</v>
      </c>
      <c r="B8" s="61" t="s">
        <v>174</v>
      </c>
      <c r="C8" s="61"/>
      <c r="D8" s="61"/>
      <c r="E8" s="61"/>
    </row>
    <row r="9" spans="1:5">
      <c r="A9" s="61" t="s">
        <v>175</v>
      </c>
      <c r="B9" s="61" t="s">
        <v>174</v>
      </c>
      <c r="C9" s="61"/>
      <c r="D9" s="61"/>
      <c r="E9" s="61"/>
    </row>
    <row r="10" spans="1:5">
      <c r="A10" s="61" t="s">
        <v>176</v>
      </c>
      <c r="B10" s="61" t="s">
        <v>174</v>
      </c>
      <c r="C10" s="61"/>
      <c r="D10" s="61"/>
      <c r="E10" s="61"/>
    </row>
    <row r="11" spans="1:5">
      <c r="A11" s="61" t="s">
        <v>177</v>
      </c>
      <c r="B11" s="61" t="s">
        <v>174</v>
      </c>
      <c r="C11" s="61"/>
      <c r="D11" s="61"/>
      <c r="E11" s="61"/>
    </row>
    <row r="12" spans="1:5">
      <c r="A12" s="61" t="s">
        <v>165</v>
      </c>
      <c r="B12" s="61" t="s">
        <v>166</v>
      </c>
      <c r="C12" s="61"/>
      <c r="D12" s="61"/>
      <c r="E12" s="61"/>
    </row>
    <row r="13" spans="1:5">
      <c r="A13" s="61" t="s">
        <v>164</v>
      </c>
      <c r="B13" s="61" t="s">
        <v>160</v>
      </c>
      <c r="C13" s="61"/>
      <c r="D13" s="61"/>
      <c r="E13" s="61"/>
    </row>
    <row r="14" spans="1:5">
      <c r="A14" s="61" t="s">
        <v>162</v>
      </c>
      <c r="B14" s="61" t="s">
        <v>161</v>
      </c>
      <c r="C14" s="61"/>
      <c r="D14" s="61"/>
      <c r="E14" s="61"/>
    </row>
    <row r="15" spans="1:5">
      <c r="A15" s="61" t="s">
        <v>167</v>
      </c>
      <c r="B15" s="61" t="s">
        <v>168</v>
      </c>
      <c r="C15" s="61"/>
      <c r="D15" s="61"/>
      <c r="E15" s="61"/>
    </row>
    <row r="16" spans="1:5">
      <c r="A16" s="61" t="s">
        <v>167</v>
      </c>
      <c r="B16" s="61" t="s">
        <v>169</v>
      </c>
      <c r="C16" s="61"/>
      <c r="D16" s="61"/>
      <c r="E16" s="61"/>
    </row>
    <row r="17" spans="1:5">
      <c r="A17" s="61" t="s">
        <v>170</v>
      </c>
      <c r="B17" s="61" t="s">
        <v>171</v>
      </c>
      <c r="C17" s="61"/>
      <c r="D17" s="61"/>
      <c r="E17" s="61"/>
    </row>
    <row r="18" spans="1:5">
      <c r="A18" s="61" t="s">
        <v>172</v>
      </c>
      <c r="B18" s="61" t="s">
        <v>173</v>
      </c>
      <c r="C18" s="61"/>
      <c r="D18" s="61"/>
      <c r="E18" s="61"/>
    </row>
    <row r="19" spans="1:5">
      <c r="A19" s="61" t="s">
        <v>179</v>
      </c>
      <c r="B19" s="61" t="s">
        <v>173</v>
      </c>
      <c r="C19" s="61"/>
      <c r="D19" s="61"/>
      <c r="E19" s="61"/>
    </row>
    <row r="20" spans="1:5">
      <c r="A20" s="61" t="s">
        <v>180</v>
      </c>
      <c r="B20" s="61" t="s">
        <v>173</v>
      </c>
      <c r="C20" s="61"/>
      <c r="D20" s="61"/>
      <c r="E20" s="61"/>
    </row>
    <row r="21" spans="1:5">
      <c r="A21" s="61" t="s">
        <v>211</v>
      </c>
      <c r="B21" s="61" t="s">
        <v>210</v>
      </c>
      <c r="C21" s="61"/>
      <c r="D21" s="61"/>
      <c r="E21" s="61"/>
    </row>
    <row r="22" spans="1:5">
      <c r="A22" s="61" t="s">
        <v>178</v>
      </c>
      <c r="B22" s="61" t="s">
        <v>173</v>
      </c>
      <c r="C22" s="61"/>
      <c r="D22" s="61"/>
      <c r="E22" s="61"/>
    </row>
    <row r="23" spans="1:5">
      <c r="A23" s="61" t="s">
        <v>178</v>
      </c>
      <c r="B23" s="61" t="s">
        <v>173</v>
      </c>
      <c r="C23" s="61"/>
      <c r="D23" s="61"/>
      <c r="E23" s="61"/>
    </row>
    <row r="24" spans="1:5">
      <c r="A24" s="61" t="s">
        <v>178</v>
      </c>
      <c r="B24" s="61" t="s">
        <v>173</v>
      </c>
      <c r="C24" s="61"/>
      <c r="D24" s="61"/>
      <c r="E24" s="61"/>
    </row>
    <row r="25" spans="1:5">
      <c r="A25" s="61" t="s">
        <v>178</v>
      </c>
      <c r="B25" s="61" t="s">
        <v>173</v>
      </c>
      <c r="C25" s="61"/>
      <c r="D25" s="61"/>
      <c r="E25" s="61"/>
    </row>
  </sheetData>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EC38-EBFA-4F20-BF9F-76F6E7029E27}">
  <dimension ref="A1:Q55"/>
  <sheetViews>
    <sheetView showGridLines="0" view="pageBreakPreview" zoomScaleNormal="85" zoomScaleSheetLayoutView="100" workbookViewId="0">
      <selection activeCell="H21" sqref="H21"/>
    </sheetView>
  </sheetViews>
  <sheetFormatPr defaultColWidth="9.375" defaultRowHeight="12"/>
  <cols>
    <col min="1" max="4" width="9.375" style="1"/>
    <col min="5" max="9" width="9.5" style="1" bestFit="1" customWidth="1"/>
    <col min="10" max="10" width="9.375" style="1"/>
    <col min="11" max="12" width="9.5" style="1" bestFit="1" customWidth="1"/>
    <col min="13" max="14" width="9.375" style="1" customWidth="1"/>
    <col min="15" max="16384" width="9.375" style="1"/>
  </cols>
  <sheetData>
    <row r="1" spans="1:14">
      <c r="A1" s="1" t="s">
        <v>8</v>
      </c>
    </row>
    <row r="2" spans="1:14" s="3" customFormat="1" ht="16.5">
      <c r="A2" s="2" t="s">
        <v>84</v>
      </c>
      <c r="B2" s="2"/>
      <c r="C2" s="2"/>
      <c r="D2" s="2"/>
      <c r="E2" s="2"/>
      <c r="F2" s="2"/>
      <c r="G2" s="2"/>
      <c r="H2" s="2"/>
      <c r="I2" s="2"/>
      <c r="J2" s="2"/>
      <c r="K2" s="2"/>
      <c r="L2" s="2"/>
      <c r="M2" s="2"/>
      <c r="N2" s="2"/>
    </row>
    <row r="3" spans="1:14">
      <c r="N3" s="4" t="s">
        <v>0</v>
      </c>
    </row>
    <row r="4" spans="1:14">
      <c r="A4" s="35" t="s">
        <v>87</v>
      </c>
      <c r="N4" s="4" t="s">
        <v>85</v>
      </c>
    </row>
    <row r="5" spans="1:14">
      <c r="A5" s="35" t="s">
        <v>88</v>
      </c>
      <c r="N5" s="4" t="s">
        <v>86</v>
      </c>
    </row>
    <row r="6" spans="1:14">
      <c r="A6" s="35" t="s">
        <v>89</v>
      </c>
      <c r="L6" s="46">
        <v>1</v>
      </c>
      <c r="M6" s="47">
        <v>44725</v>
      </c>
      <c r="N6" s="48">
        <v>0.47847222222222219</v>
      </c>
    </row>
    <row r="7" spans="1:14">
      <c r="M7" s="6" t="s">
        <v>91</v>
      </c>
      <c r="N7" s="6" t="s">
        <v>92</v>
      </c>
    </row>
    <row r="8" spans="1:14" ht="16.5" thickBot="1">
      <c r="A8" s="9" t="s">
        <v>9</v>
      </c>
      <c r="N8" s="38"/>
    </row>
    <row r="9" spans="1:14">
      <c r="A9" s="282" t="s">
        <v>75</v>
      </c>
      <c r="B9" s="283"/>
      <c r="C9" s="283"/>
      <c r="D9" s="283"/>
      <c r="E9" s="283"/>
      <c r="F9" s="283"/>
      <c r="G9" s="284"/>
      <c r="H9" s="294" t="s">
        <v>80</v>
      </c>
      <c r="I9" s="295"/>
      <c r="J9" s="295"/>
      <c r="K9" s="295"/>
      <c r="L9" s="295"/>
      <c r="M9" s="296"/>
      <c r="N9" s="278" t="s">
        <v>7</v>
      </c>
    </row>
    <row r="10" spans="1:14" s="5" customFormat="1">
      <c r="A10" s="281" t="s">
        <v>1</v>
      </c>
      <c r="B10" s="23" t="s">
        <v>2</v>
      </c>
      <c r="C10" s="293" t="s">
        <v>5</v>
      </c>
      <c r="D10" s="285" t="s">
        <v>4</v>
      </c>
      <c r="E10" s="286"/>
      <c r="F10" s="286"/>
      <c r="G10" s="287"/>
      <c r="H10" s="29" t="s">
        <v>3</v>
      </c>
      <c r="I10" s="30"/>
      <c r="J10" s="297" t="s">
        <v>6</v>
      </c>
      <c r="K10" s="298"/>
      <c r="L10" s="298"/>
      <c r="M10" s="299"/>
      <c r="N10" s="278"/>
    </row>
    <row r="11" spans="1:14" s="7" customFormat="1" ht="8.25">
      <c r="A11" s="281"/>
      <c r="B11" s="11" t="s">
        <v>74</v>
      </c>
      <c r="C11" s="293"/>
      <c r="D11" s="288"/>
      <c r="E11" s="289"/>
      <c r="F11" s="289"/>
      <c r="G11" s="290"/>
      <c r="H11" s="31" t="s">
        <v>10</v>
      </c>
      <c r="I11" s="32" t="s">
        <v>11</v>
      </c>
      <c r="J11" s="300"/>
      <c r="K11" s="301"/>
      <c r="L11" s="301"/>
      <c r="M11" s="302"/>
      <c r="N11" s="10" t="s">
        <v>12</v>
      </c>
    </row>
    <row r="12" spans="1:14" s="8" customFormat="1">
      <c r="A12" s="24" t="s">
        <v>22</v>
      </c>
      <c r="B12" s="20" t="s">
        <v>23</v>
      </c>
      <c r="C12" s="13" t="s">
        <v>25</v>
      </c>
      <c r="D12" s="306" t="s">
        <v>28</v>
      </c>
      <c r="E12" s="307"/>
      <c r="F12" s="307"/>
      <c r="G12" s="308"/>
      <c r="H12" s="36" t="s">
        <v>32</v>
      </c>
      <c r="I12" s="37"/>
      <c r="J12" s="303" t="s">
        <v>34</v>
      </c>
      <c r="K12" s="304"/>
      <c r="L12" s="304"/>
      <c r="M12" s="305"/>
      <c r="N12" s="21">
        <v>10000</v>
      </c>
    </row>
    <row r="13" spans="1:14" s="8" customFormat="1">
      <c r="A13" s="24" t="s">
        <v>22</v>
      </c>
      <c r="B13" s="20" t="s">
        <v>23</v>
      </c>
      <c r="C13" s="13" t="s">
        <v>79</v>
      </c>
      <c r="D13" s="306" t="s">
        <v>29</v>
      </c>
      <c r="E13" s="307"/>
      <c r="F13" s="307"/>
      <c r="G13" s="308"/>
      <c r="H13" s="36" t="s">
        <v>32</v>
      </c>
      <c r="I13" s="37" t="s">
        <v>33</v>
      </c>
      <c r="J13" s="303" t="s">
        <v>35</v>
      </c>
      <c r="K13" s="304"/>
      <c r="L13" s="304"/>
      <c r="M13" s="305"/>
      <c r="N13" s="21">
        <v>1000</v>
      </c>
    </row>
    <row r="14" spans="1:14" s="8" customFormat="1">
      <c r="A14" s="24" t="s">
        <v>22</v>
      </c>
      <c r="B14" s="20" t="s">
        <v>24</v>
      </c>
      <c r="C14" s="13" t="s">
        <v>26</v>
      </c>
      <c r="D14" s="306" t="s">
        <v>30</v>
      </c>
      <c r="E14" s="307"/>
      <c r="F14" s="307"/>
      <c r="G14" s="308"/>
      <c r="H14" s="36" t="s">
        <v>32</v>
      </c>
      <c r="I14" s="37"/>
      <c r="J14" s="303"/>
      <c r="K14" s="304"/>
      <c r="L14" s="304"/>
      <c r="M14" s="305"/>
      <c r="N14" s="22"/>
    </row>
    <row r="15" spans="1:14" s="8" customFormat="1">
      <c r="A15" s="24" t="s">
        <v>22</v>
      </c>
      <c r="B15" s="20" t="s">
        <v>24</v>
      </c>
      <c r="C15" s="13" t="s">
        <v>27</v>
      </c>
      <c r="D15" s="306" t="s">
        <v>31</v>
      </c>
      <c r="E15" s="307"/>
      <c r="F15" s="307"/>
      <c r="G15" s="308"/>
      <c r="H15" s="36" t="s">
        <v>32</v>
      </c>
      <c r="I15" s="37"/>
      <c r="J15" s="303"/>
      <c r="K15" s="304"/>
      <c r="L15" s="304"/>
      <c r="M15" s="305"/>
      <c r="N15" s="22"/>
    </row>
    <row r="16" spans="1:14" s="8" customFormat="1">
      <c r="A16" s="24"/>
      <c r="B16" s="20"/>
      <c r="C16" s="13"/>
      <c r="D16" s="306"/>
      <c r="E16" s="307"/>
      <c r="F16" s="307"/>
      <c r="G16" s="308"/>
      <c r="H16" s="36"/>
      <c r="I16" s="37"/>
      <c r="J16" s="303"/>
      <c r="K16" s="304"/>
      <c r="L16" s="304"/>
      <c r="M16" s="305"/>
      <c r="N16" s="22"/>
    </row>
    <row r="17" spans="1:17" s="8" customFormat="1" ht="12.75" thickBot="1">
      <c r="A17" s="25"/>
      <c r="B17" s="26"/>
      <c r="C17" s="27"/>
      <c r="D17" s="343"/>
      <c r="E17" s="344"/>
      <c r="F17" s="344"/>
      <c r="G17" s="345"/>
      <c r="H17" s="36"/>
      <c r="I17" s="37"/>
      <c r="J17" s="303"/>
      <c r="K17" s="304"/>
      <c r="L17" s="304"/>
      <c r="M17" s="305"/>
      <c r="N17" s="22"/>
    </row>
    <row r="18" spans="1:17">
      <c r="A18" s="1" t="s">
        <v>73</v>
      </c>
      <c r="G18" s="6"/>
      <c r="H18" s="6"/>
    </row>
    <row r="19" spans="1:17">
      <c r="A19" s="1" t="s">
        <v>97</v>
      </c>
      <c r="G19" s="6"/>
      <c r="H19" s="6"/>
    </row>
    <row r="21" spans="1:17" ht="16.5" thickBot="1">
      <c r="A21" s="9" t="s">
        <v>13</v>
      </c>
    </row>
    <row r="22" spans="1:17">
      <c r="A22" s="282" t="s">
        <v>76</v>
      </c>
      <c r="B22" s="283"/>
      <c r="C22" s="283"/>
      <c r="D22" s="283"/>
      <c r="E22" s="283"/>
      <c r="F22" s="283"/>
      <c r="G22" s="284"/>
      <c r="H22" s="295" t="s">
        <v>81</v>
      </c>
      <c r="I22" s="295"/>
      <c r="J22" s="295"/>
      <c r="K22" s="295"/>
      <c r="L22" s="296"/>
      <c r="M22" s="291" t="s">
        <v>101</v>
      </c>
      <c r="N22" s="279" t="s">
        <v>100</v>
      </c>
      <c r="O22" s="311" t="s">
        <v>98</v>
      </c>
      <c r="P22" s="312"/>
      <c r="Q22" s="309" t="s">
        <v>95</v>
      </c>
    </row>
    <row r="23" spans="1:17" s="8" customFormat="1" ht="12" customHeight="1">
      <c r="A23" s="316" t="s">
        <v>1</v>
      </c>
      <c r="B23" s="327" t="s">
        <v>14</v>
      </c>
      <c r="C23" s="328"/>
      <c r="D23" s="328"/>
      <c r="E23" s="328"/>
      <c r="F23" s="329"/>
      <c r="G23" s="57" t="s">
        <v>113</v>
      </c>
      <c r="H23" s="33" t="s">
        <v>15</v>
      </c>
      <c r="I23" s="34" t="s">
        <v>18</v>
      </c>
      <c r="J23" s="34" t="s">
        <v>19</v>
      </c>
      <c r="K23" s="34" t="s">
        <v>20</v>
      </c>
      <c r="L23" s="34" t="s">
        <v>21</v>
      </c>
      <c r="M23" s="292"/>
      <c r="N23" s="280"/>
      <c r="O23" s="39" t="s">
        <v>93</v>
      </c>
      <c r="P23" s="39" t="s">
        <v>94</v>
      </c>
      <c r="Q23" s="310"/>
    </row>
    <row r="24" spans="1:17" s="6" customFormat="1" ht="8.25" customHeight="1">
      <c r="A24" s="281"/>
      <c r="B24" s="330"/>
      <c r="C24" s="331"/>
      <c r="D24" s="331"/>
      <c r="E24" s="331"/>
      <c r="F24" s="332"/>
      <c r="G24" s="56" t="s">
        <v>112</v>
      </c>
      <c r="H24" s="31" t="s">
        <v>17</v>
      </c>
      <c r="I24" s="32" t="s">
        <v>16</v>
      </c>
      <c r="J24" s="32" t="s">
        <v>16</v>
      </c>
      <c r="K24" s="32" t="s">
        <v>16</v>
      </c>
      <c r="L24" s="32" t="s">
        <v>16</v>
      </c>
      <c r="M24" s="32" t="s">
        <v>96</v>
      </c>
      <c r="N24" s="10" t="s">
        <v>12</v>
      </c>
      <c r="O24" s="40" t="s">
        <v>17</v>
      </c>
      <c r="P24" s="40" t="s">
        <v>99</v>
      </c>
      <c r="Q24" s="12" t="s">
        <v>96</v>
      </c>
    </row>
    <row r="25" spans="1:17" s="19" customFormat="1">
      <c r="A25" s="24" t="s">
        <v>22</v>
      </c>
      <c r="B25" s="321" t="s">
        <v>38</v>
      </c>
      <c r="C25" s="322"/>
      <c r="D25" s="322"/>
      <c r="E25" s="322"/>
      <c r="F25" s="323"/>
      <c r="G25" s="58"/>
      <c r="H25" s="49"/>
      <c r="I25" s="50"/>
      <c r="J25" s="50"/>
      <c r="K25" s="50"/>
      <c r="L25" s="50"/>
      <c r="M25" s="51"/>
      <c r="N25" s="22"/>
      <c r="O25" s="42"/>
      <c r="P25" s="42"/>
      <c r="Q25" s="41" t="str">
        <f>IFERROR(117*H25+23*(I25)+(P25/O25)*(4.6*K25+0.62*L25),"")</f>
        <v/>
      </c>
    </row>
    <row r="26" spans="1:17" s="19" customFormat="1">
      <c r="A26" s="24" t="s">
        <v>22</v>
      </c>
      <c r="B26" s="321" t="s">
        <v>36</v>
      </c>
      <c r="C26" s="322"/>
      <c r="D26" s="322"/>
      <c r="E26" s="322"/>
      <c r="F26" s="323"/>
      <c r="G26" s="58"/>
      <c r="H26" s="49">
        <v>10</v>
      </c>
      <c r="I26" s="50">
        <v>50</v>
      </c>
      <c r="J26" s="50">
        <v>300</v>
      </c>
      <c r="K26" s="50">
        <v>0</v>
      </c>
      <c r="L26" s="50">
        <v>0</v>
      </c>
      <c r="M26" s="51">
        <v>2320</v>
      </c>
      <c r="N26" s="21">
        <v>50000</v>
      </c>
      <c r="O26" s="42">
        <v>10000</v>
      </c>
      <c r="P26" s="42">
        <v>12000</v>
      </c>
      <c r="Q26" s="41">
        <f>IFERROR(117*H26+23*(I26)+(P26/O26)*(4.6*K26+0.62*L26),"")</f>
        <v>2320</v>
      </c>
    </row>
    <row r="27" spans="1:17" s="19" customFormat="1">
      <c r="A27" s="24" t="s">
        <v>22</v>
      </c>
      <c r="B27" s="321" t="s">
        <v>37</v>
      </c>
      <c r="C27" s="322"/>
      <c r="D27" s="322"/>
      <c r="E27" s="322"/>
      <c r="F27" s="323"/>
      <c r="G27" s="58"/>
      <c r="H27" s="49">
        <v>0</v>
      </c>
      <c r="I27" s="50">
        <v>0</v>
      </c>
      <c r="J27" s="50">
        <v>120</v>
      </c>
      <c r="K27" s="50">
        <v>200</v>
      </c>
      <c r="L27" s="50">
        <v>345</v>
      </c>
      <c r="M27" s="51">
        <v>1511.9</v>
      </c>
      <c r="N27" s="21">
        <v>20000</v>
      </c>
      <c r="O27" s="42">
        <v>3000</v>
      </c>
      <c r="P27" s="42">
        <v>4000</v>
      </c>
      <c r="Q27" s="41">
        <f>IFERROR(117*H27+23*(I27)+(P27/O27)*(4.6*K27+0.62*L27),"")</f>
        <v>1511.8666666666663</v>
      </c>
    </row>
    <row r="28" spans="1:17" s="19" customFormat="1">
      <c r="A28" s="24"/>
      <c r="B28" s="321"/>
      <c r="C28" s="322"/>
      <c r="D28" s="322"/>
      <c r="E28" s="322"/>
      <c r="F28" s="323"/>
      <c r="G28" s="58"/>
      <c r="H28" s="49"/>
      <c r="I28" s="50"/>
      <c r="J28" s="50"/>
      <c r="K28" s="50"/>
      <c r="L28" s="50"/>
      <c r="M28" s="51"/>
      <c r="N28" s="22"/>
      <c r="O28" s="42"/>
      <c r="P28" s="42"/>
      <c r="Q28" s="41" t="str">
        <f>IFERROR(117*H28+23*(I28)+(P28/O28)*(4.6*K28+0.62*L28),"")</f>
        <v/>
      </c>
    </row>
    <row r="29" spans="1:17" s="19" customFormat="1" ht="12.75" thickBot="1">
      <c r="A29" s="28"/>
      <c r="B29" s="324"/>
      <c r="C29" s="325"/>
      <c r="D29" s="325"/>
      <c r="E29" s="325"/>
      <c r="F29" s="326"/>
      <c r="G29" s="59"/>
      <c r="H29" s="49"/>
      <c r="I29" s="50"/>
      <c r="J29" s="50"/>
      <c r="K29" s="50"/>
      <c r="L29" s="50"/>
      <c r="M29" s="51"/>
      <c r="N29" s="22"/>
      <c r="O29" s="42"/>
      <c r="P29" s="42"/>
      <c r="Q29" s="41" t="str">
        <f>IFERROR(117*H29+23*(I29)+(P29/O29)*(4.6*K29+0.62*L29),"")</f>
        <v/>
      </c>
    </row>
    <row r="30" spans="1:17">
      <c r="A30" s="1" t="s">
        <v>77</v>
      </c>
      <c r="O30" s="1" t="s">
        <v>111</v>
      </c>
    </row>
    <row r="31" spans="1:17">
      <c r="A31" s="1" t="s">
        <v>109</v>
      </c>
      <c r="O31" s="53" t="s">
        <v>107</v>
      </c>
    </row>
    <row r="32" spans="1:17">
      <c r="O32" s="53" t="s">
        <v>108</v>
      </c>
    </row>
    <row r="33" spans="1:15">
      <c r="O33" s="55" t="s">
        <v>110</v>
      </c>
    </row>
    <row r="34" spans="1:15">
      <c r="A34" s="54" t="s">
        <v>102</v>
      </c>
    </row>
    <row r="36" spans="1:15" ht="15.75">
      <c r="A36" s="9" t="s">
        <v>39</v>
      </c>
    </row>
    <row r="37" spans="1:15">
      <c r="A37" s="313" t="s">
        <v>1</v>
      </c>
      <c r="B37" s="297" t="s">
        <v>41</v>
      </c>
      <c r="C37" s="298"/>
      <c r="D37" s="298"/>
      <c r="E37" s="45" t="s">
        <v>44</v>
      </c>
      <c r="F37" s="297" t="s">
        <v>103</v>
      </c>
      <c r="G37" s="298"/>
      <c r="H37" s="299"/>
      <c r="I37" s="314" t="s">
        <v>42</v>
      </c>
      <c r="J37" s="315"/>
      <c r="K37" s="317" t="s">
        <v>106</v>
      </c>
      <c r="L37" s="318"/>
      <c r="M37" s="346" t="s">
        <v>90</v>
      </c>
      <c r="N37" s="347"/>
    </row>
    <row r="38" spans="1:15">
      <c r="A38" s="313"/>
      <c r="B38" s="300"/>
      <c r="C38" s="301"/>
      <c r="D38" s="301"/>
      <c r="E38" s="32" t="s">
        <v>45</v>
      </c>
      <c r="F38" s="43" t="s">
        <v>78</v>
      </c>
      <c r="G38" s="44" t="s">
        <v>104</v>
      </c>
      <c r="H38" s="12" t="s">
        <v>105</v>
      </c>
      <c r="I38" s="31" t="s">
        <v>47</v>
      </c>
      <c r="J38" s="32" t="s">
        <v>48</v>
      </c>
      <c r="K38" s="319"/>
      <c r="L38" s="320"/>
      <c r="M38" s="348"/>
      <c r="N38" s="349"/>
    </row>
    <row r="39" spans="1:15">
      <c r="A39" s="13" t="s">
        <v>22</v>
      </c>
      <c r="B39" s="303" t="s">
        <v>43</v>
      </c>
      <c r="C39" s="304"/>
      <c r="D39" s="304"/>
      <c r="E39" s="14">
        <v>500.5</v>
      </c>
      <c r="F39" s="15">
        <v>0.6</v>
      </c>
      <c r="G39" s="15">
        <v>0.4</v>
      </c>
      <c r="H39" s="52">
        <f>1-G39</f>
        <v>0.6</v>
      </c>
      <c r="I39" s="16">
        <v>44732</v>
      </c>
      <c r="J39" s="17"/>
      <c r="K39" s="341"/>
      <c r="L39" s="341"/>
      <c r="M39" s="342" t="s">
        <v>53</v>
      </c>
      <c r="N39" s="342"/>
    </row>
    <row r="40" spans="1:15">
      <c r="A40" s="13"/>
      <c r="B40" s="303"/>
      <c r="C40" s="304"/>
      <c r="D40" s="304"/>
      <c r="E40" s="14"/>
      <c r="F40" s="15"/>
      <c r="G40" s="15"/>
      <c r="H40" s="52"/>
      <c r="I40" s="17"/>
      <c r="J40" s="17"/>
      <c r="K40" s="341"/>
      <c r="L40" s="341"/>
      <c r="M40" s="342"/>
      <c r="N40" s="342"/>
    </row>
    <row r="41" spans="1:15">
      <c r="A41" s="13"/>
      <c r="B41" s="303"/>
      <c r="C41" s="304"/>
      <c r="D41" s="304"/>
      <c r="E41" s="14"/>
      <c r="F41" s="15"/>
      <c r="G41" s="15"/>
      <c r="H41" s="52"/>
      <c r="I41" s="17"/>
      <c r="J41" s="17"/>
      <c r="K41" s="341"/>
      <c r="L41" s="341"/>
      <c r="M41" s="342"/>
      <c r="N41" s="342"/>
    </row>
    <row r="42" spans="1:15">
      <c r="A42" s="1" t="s">
        <v>71</v>
      </c>
    </row>
    <row r="43" spans="1:15">
      <c r="A43" s="1" t="s">
        <v>72</v>
      </c>
    </row>
    <row r="45" spans="1:15" ht="15.75">
      <c r="A45" s="9" t="s">
        <v>40</v>
      </c>
    </row>
    <row r="46" spans="1:15">
      <c r="A46" s="333" t="s">
        <v>1</v>
      </c>
      <c r="B46" s="334" t="s">
        <v>46</v>
      </c>
      <c r="C46" s="335"/>
      <c r="D46" s="335"/>
      <c r="E46" s="335"/>
      <c r="F46" s="335"/>
      <c r="G46" s="335"/>
      <c r="H46" s="336"/>
      <c r="I46" s="313" t="s">
        <v>55</v>
      </c>
      <c r="J46" s="313"/>
      <c r="K46" s="313"/>
      <c r="L46" s="313"/>
      <c r="M46" s="313"/>
      <c r="N46" s="313"/>
    </row>
    <row r="47" spans="1:15">
      <c r="A47" s="292"/>
      <c r="B47" s="44" t="s">
        <v>82</v>
      </c>
      <c r="C47" s="337" t="s">
        <v>83</v>
      </c>
      <c r="D47" s="338"/>
      <c r="E47" s="338"/>
      <c r="F47" s="338"/>
      <c r="G47" s="338"/>
      <c r="H47" s="339"/>
      <c r="I47" s="43" t="s">
        <v>82</v>
      </c>
      <c r="J47" s="340" t="s">
        <v>83</v>
      </c>
      <c r="K47" s="340"/>
      <c r="L47" s="340"/>
      <c r="M47" s="340"/>
      <c r="N47" s="340"/>
    </row>
    <row r="48" spans="1:15">
      <c r="A48" s="13" t="s">
        <v>22</v>
      </c>
      <c r="B48" s="18" t="s">
        <v>49</v>
      </c>
      <c r="C48" s="303" t="s">
        <v>54</v>
      </c>
      <c r="D48" s="304"/>
      <c r="E48" s="304"/>
      <c r="F48" s="304"/>
      <c r="G48" s="304"/>
      <c r="H48" s="305"/>
      <c r="I48" s="20" t="s">
        <v>64</v>
      </c>
      <c r="J48" s="341" t="s">
        <v>60</v>
      </c>
      <c r="K48" s="341"/>
      <c r="L48" s="341"/>
      <c r="M48" s="341"/>
      <c r="N48" s="341"/>
    </row>
    <row r="49" spans="1:14">
      <c r="A49" s="13" t="s">
        <v>22</v>
      </c>
      <c r="B49" s="18" t="s">
        <v>49</v>
      </c>
      <c r="C49" s="303" t="s">
        <v>59</v>
      </c>
      <c r="D49" s="304"/>
      <c r="E49" s="304"/>
      <c r="F49" s="304"/>
      <c r="G49" s="304"/>
      <c r="H49" s="305"/>
      <c r="I49" s="20" t="s">
        <v>65</v>
      </c>
      <c r="J49" s="341" t="s">
        <v>66</v>
      </c>
      <c r="K49" s="341"/>
      <c r="L49" s="341"/>
      <c r="M49" s="341"/>
      <c r="N49" s="341"/>
    </row>
    <row r="50" spans="1:14">
      <c r="A50" s="13" t="s">
        <v>22</v>
      </c>
      <c r="B50" s="18" t="s">
        <v>50</v>
      </c>
      <c r="C50" s="303" t="s">
        <v>58</v>
      </c>
      <c r="D50" s="304"/>
      <c r="E50" s="304"/>
      <c r="F50" s="304"/>
      <c r="G50" s="304"/>
      <c r="H50" s="305"/>
      <c r="I50" s="20" t="s">
        <v>63</v>
      </c>
      <c r="J50" s="341" t="s">
        <v>67</v>
      </c>
      <c r="K50" s="341"/>
      <c r="L50" s="341"/>
      <c r="M50" s="341"/>
      <c r="N50" s="341"/>
    </row>
    <row r="51" spans="1:14">
      <c r="A51" s="13" t="s">
        <v>22</v>
      </c>
      <c r="B51" s="18" t="s">
        <v>51</v>
      </c>
      <c r="C51" s="303" t="s">
        <v>57</v>
      </c>
      <c r="D51" s="304"/>
      <c r="E51" s="304"/>
      <c r="F51" s="304"/>
      <c r="G51" s="304"/>
      <c r="H51" s="305"/>
      <c r="I51" s="20" t="s">
        <v>62</v>
      </c>
      <c r="J51" s="341" t="s">
        <v>61</v>
      </c>
      <c r="K51" s="341"/>
      <c r="L51" s="341"/>
      <c r="M51" s="341"/>
      <c r="N51" s="341"/>
    </row>
    <row r="52" spans="1:14">
      <c r="A52" s="13" t="s">
        <v>22</v>
      </c>
      <c r="B52" s="18" t="s">
        <v>52</v>
      </c>
      <c r="C52" s="303" t="s">
        <v>56</v>
      </c>
      <c r="D52" s="304"/>
      <c r="E52" s="304"/>
      <c r="F52" s="304"/>
      <c r="G52" s="304"/>
      <c r="H52" s="305"/>
      <c r="I52" s="20" t="s">
        <v>68</v>
      </c>
      <c r="J52" s="341" t="s">
        <v>69</v>
      </c>
      <c r="K52" s="341"/>
      <c r="L52" s="341"/>
      <c r="M52" s="341"/>
      <c r="N52" s="341"/>
    </row>
    <row r="53" spans="1:14">
      <c r="A53" s="13"/>
      <c r="B53" s="18"/>
      <c r="C53" s="303"/>
      <c r="D53" s="304"/>
      <c r="E53" s="304"/>
      <c r="F53" s="304"/>
      <c r="G53" s="304"/>
      <c r="H53" s="305"/>
      <c r="I53" s="20"/>
      <c r="J53" s="341"/>
      <c r="K53" s="341"/>
      <c r="L53" s="341"/>
      <c r="M53" s="341"/>
      <c r="N53" s="341"/>
    </row>
    <row r="54" spans="1:14">
      <c r="A54" s="17"/>
      <c r="B54" s="18"/>
      <c r="C54" s="303"/>
      <c r="D54" s="304"/>
      <c r="E54" s="304"/>
      <c r="F54" s="304"/>
      <c r="G54" s="304"/>
      <c r="H54" s="305"/>
      <c r="I54" s="20"/>
      <c r="J54" s="341"/>
      <c r="K54" s="341"/>
      <c r="L54" s="341"/>
      <c r="M54" s="341"/>
      <c r="N54" s="341"/>
    </row>
    <row r="55" spans="1:14">
      <c r="A55" s="1" t="s">
        <v>70</v>
      </c>
    </row>
  </sheetData>
  <mergeCells count="66">
    <mergeCell ref="J50:N50"/>
    <mergeCell ref="D13:G13"/>
    <mergeCell ref="D14:G14"/>
    <mergeCell ref="D15:G15"/>
    <mergeCell ref="D16:G16"/>
    <mergeCell ref="D17:G17"/>
    <mergeCell ref="M37:N38"/>
    <mergeCell ref="M40:N40"/>
    <mergeCell ref="M41:N41"/>
    <mergeCell ref="B41:D41"/>
    <mergeCell ref="K39:L39"/>
    <mergeCell ref="K40:L40"/>
    <mergeCell ref="K41:L41"/>
    <mergeCell ref="C54:H54"/>
    <mergeCell ref="J54:N54"/>
    <mergeCell ref="B39:D39"/>
    <mergeCell ref="B40:D40"/>
    <mergeCell ref="C51:H51"/>
    <mergeCell ref="J51:N51"/>
    <mergeCell ref="C52:H52"/>
    <mergeCell ref="J52:N52"/>
    <mergeCell ref="C53:H53"/>
    <mergeCell ref="J53:N53"/>
    <mergeCell ref="C48:H48"/>
    <mergeCell ref="J48:N48"/>
    <mergeCell ref="C49:H49"/>
    <mergeCell ref="J49:N49"/>
    <mergeCell ref="C50:H50"/>
    <mergeCell ref="M39:N39"/>
    <mergeCell ref="A46:A47"/>
    <mergeCell ref="B46:H46"/>
    <mergeCell ref="I46:N46"/>
    <mergeCell ref="C47:H47"/>
    <mergeCell ref="J47:N47"/>
    <mergeCell ref="Q22:Q23"/>
    <mergeCell ref="O22:P22"/>
    <mergeCell ref="A37:A38"/>
    <mergeCell ref="I37:J37"/>
    <mergeCell ref="F37:H37"/>
    <mergeCell ref="A23:A24"/>
    <mergeCell ref="H22:L22"/>
    <mergeCell ref="K37:L38"/>
    <mergeCell ref="B37:D38"/>
    <mergeCell ref="A22:G22"/>
    <mergeCell ref="B28:F28"/>
    <mergeCell ref="B29:F29"/>
    <mergeCell ref="B23:F24"/>
    <mergeCell ref="B25:F25"/>
    <mergeCell ref="B26:F26"/>
    <mergeCell ref="B27:F27"/>
    <mergeCell ref="N9:N10"/>
    <mergeCell ref="N22:N23"/>
    <mergeCell ref="A10:A11"/>
    <mergeCell ref="A9:G9"/>
    <mergeCell ref="D10:G11"/>
    <mergeCell ref="M22:M23"/>
    <mergeCell ref="C10:C11"/>
    <mergeCell ref="H9:M9"/>
    <mergeCell ref="J10:M11"/>
    <mergeCell ref="J12:M12"/>
    <mergeCell ref="J13:M13"/>
    <mergeCell ref="J14:M14"/>
    <mergeCell ref="J15:M15"/>
    <mergeCell ref="J16:M16"/>
    <mergeCell ref="J17:M17"/>
    <mergeCell ref="D12:G12"/>
  </mergeCells>
  <phoneticPr fontId="2"/>
  <dataValidations count="4">
    <dataValidation type="list" allowBlank="1" showInputMessage="1" showErrorMessage="1" sqref="B12:B17" xr:uid="{B3EEF3B8-4C8D-4888-B507-44CBE5A13513}">
      <formula1>"被害あり,確認中"</formula1>
    </dataValidation>
    <dataValidation type="list" allowBlank="1" showInputMessage="1" showErrorMessage="1" sqref="I48:I54" xr:uid="{4BD3379C-316A-446A-91A3-39590B1281FE}">
      <formula1>"市町村内調整,県内調整,ブロック内調整,全国調整,その他"</formula1>
    </dataValidation>
    <dataValidation type="list" allowBlank="1" showInputMessage="1" showErrorMessage="1" sqref="B48:B54" xr:uid="{F0AE5F2F-9042-474C-8998-4A7709FA0EA5}">
      <formula1>"仮置場,人員不足,車両不足,処理先確保,その他"</formula1>
    </dataValidation>
    <dataValidation type="list" allowBlank="1" showInputMessage="1" showErrorMessage="1" sqref="G25:G29" xr:uid="{A8F8D866-BB53-4D0A-B7B7-D54ACC8987F0}">
      <formula1>"有,調整中,無"</formula1>
    </dataValidation>
  </dataValidations>
  <hyperlinks>
    <hyperlink ref="O31" r:id="rId1" display="住民基本台帳に基づく人口、人口動態及び世帯数" xr:uid="{78285D4A-8A18-4677-B38E-C99F280B6623}"/>
    <hyperlink ref="O32" r:id="rId2" xr:uid="{1E19F62D-7AF3-4262-BF1A-E783CC3158E4}"/>
  </hyperlinks>
  <pageMargins left="0.25" right="0.25" top="0.75" bottom="0.75" header="0.3" footer="0.3"/>
  <pageSetup paperSize="9" scale="98" orientation="landscape" r:id="rId3"/>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686F-B5AB-4248-9ACB-4F5215C17FFA}">
  <dimension ref="A1:H23"/>
  <sheetViews>
    <sheetView workbookViewId="0">
      <selection activeCell="F7" sqref="F7"/>
    </sheetView>
  </sheetViews>
  <sheetFormatPr defaultRowHeight="18.75"/>
  <cols>
    <col min="3" max="3" width="12.375" bestFit="1" customWidth="1"/>
    <col min="4" max="4" width="12.625" customWidth="1"/>
    <col min="5" max="5" width="14.375" customWidth="1"/>
    <col min="6" max="6" width="46.875" customWidth="1"/>
    <col min="7" max="7" width="16.5" customWidth="1"/>
    <col min="8" max="8" width="18.875" customWidth="1"/>
  </cols>
  <sheetData>
    <row r="1" spans="1:8" ht="37.5">
      <c r="A1" s="150" t="s">
        <v>367</v>
      </c>
      <c r="B1" s="150" t="s">
        <v>368</v>
      </c>
      <c r="C1" s="151" t="s">
        <v>441</v>
      </c>
      <c r="D1" s="150" t="s">
        <v>371</v>
      </c>
      <c r="E1" s="150" t="s">
        <v>369</v>
      </c>
      <c r="F1" s="150" t="s">
        <v>370</v>
      </c>
      <c r="G1" s="151" t="s">
        <v>444</v>
      </c>
      <c r="H1" s="150" t="s">
        <v>193</v>
      </c>
    </row>
    <row r="2" spans="1:8" s="91" customFormat="1" ht="36" customHeight="1">
      <c r="A2" s="88">
        <v>44777</v>
      </c>
      <c r="B2" s="89">
        <v>0.67499999999999993</v>
      </c>
      <c r="C2" s="90" t="s">
        <v>372</v>
      </c>
      <c r="D2" s="90" t="s">
        <v>373</v>
      </c>
      <c r="E2" s="90" t="s">
        <v>374</v>
      </c>
      <c r="F2" s="92" t="s">
        <v>375</v>
      </c>
      <c r="G2" s="90" t="s">
        <v>442</v>
      </c>
      <c r="H2" s="90" t="s">
        <v>443</v>
      </c>
    </row>
    <row r="3" spans="1:8">
      <c r="A3" s="88">
        <v>44777</v>
      </c>
      <c r="B3" s="87">
        <v>0.71180555555555547</v>
      </c>
      <c r="C3" s="90" t="s">
        <v>372</v>
      </c>
      <c r="D3" s="90" t="s">
        <v>373</v>
      </c>
      <c r="E3" s="90" t="s">
        <v>374</v>
      </c>
      <c r="F3" s="86" t="s">
        <v>376</v>
      </c>
      <c r="G3" s="86" t="s">
        <v>377</v>
      </c>
      <c r="H3" s="86" t="s">
        <v>378</v>
      </c>
    </row>
    <row r="4" spans="1:8">
      <c r="A4" s="86"/>
      <c r="B4" s="86"/>
      <c r="C4" s="86"/>
      <c r="D4" s="86"/>
      <c r="E4" s="86"/>
      <c r="F4" s="86"/>
      <c r="G4" s="86"/>
      <c r="H4" s="86"/>
    </row>
    <row r="5" spans="1:8">
      <c r="A5" s="86"/>
      <c r="B5" s="86"/>
      <c r="C5" s="86"/>
      <c r="D5" s="86"/>
      <c r="E5" s="86"/>
      <c r="F5" s="86"/>
      <c r="G5" s="86"/>
      <c r="H5" s="86"/>
    </row>
    <row r="6" spans="1:8">
      <c r="A6" s="86"/>
      <c r="B6" s="86"/>
      <c r="C6" s="86"/>
      <c r="D6" s="86"/>
      <c r="E6" s="86"/>
      <c r="F6" s="86"/>
      <c r="G6" s="86"/>
      <c r="H6" s="86"/>
    </row>
    <row r="7" spans="1:8">
      <c r="A7" s="86"/>
      <c r="B7" s="86"/>
      <c r="C7" s="86"/>
      <c r="D7" s="86"/>
      <c r="E7" s="86"/>
      <c r="F7" s="86"/>
      <c r="G7" s="86"/>
      <c r="H7" s="86"/>
    </row>
    <row r="8" spans="1:8">
      <c r="A8" s="86"/>
      <c r="B8" s="86"/>
      <c r="C8" s="86"/>
      <c r="D8" s="86"/>
      <c r="E8" s="86"/>
      <c r="F8" s="86"/>
      <c r="G8" s="86"/>
      <c r="H8" s="86"/>
    </row>
    <row r="9" spans="1:8">
      <c r="A9" s="86"/>
      <c r="B9" s="86"/>
      <c r="C9" s="86"/>
      <c r="D9" s="86"/>
      <c r="E9" s="86"/>
      <c r="F9" s="86"/>
      <c r="G9" s="86"/>
      <c r="H9" s="86"/>
    </row>
    <row r="10" spans="1:8">
      <c r="A10" s="86"/>
      <c r="B10" s="86"/>
      <c r="C10" s="86"/>
      <c r="D10" s="86"/>
      <c r="E10" s="86"/>
      <c r="F10" s="86"/>
      <c r="G10" s="86"/>
      <c r="H10" s="86"/>
    </row>
    <row r="11" spans="1:8">
      <c r="A11" s="86"/>
      <c r="B11" s="86"/>
      <c r="C11" s="86"/>
      <c r="D11" s="86"/>
      <c r="E11" s="86"/>
      <c r="F11" s="86"/>
      <c r="G11" s="86"/>
      <c r="H11" s="86"/>
    </row>
    <row r="12" spans="1:8">
      <c r="A12" s="86"/>
      <c r="B12" s="86"/>
      <c r="C12" s="86"/>
      <c r="D12" s="86"/>
      <c r="E12" s="86"/>
      <c r="F12" s="86"/>
      <c r="G12" s="86"/>
      <c r="H12" s="86"/>
    </row>
    <row r="13" spans="1:8">
      <c r="A13" s="86"/>
      <c r="B13" s="86"/>
      <c r="C13" s="86"/>
      <c r="D13" s="86"/>
      <c r="E13" s="86"/>
      <c r="F13" s="86"/>
      <c r="G13" s="86"/>
      <c r="H13" s="86"/>
    </row>
    <row r="14" spans="1:8">
      <c r="A14" s="86"/>
      <c r="B14" s="86"/>
      <c r="C14" s="86"/>
      <c r="D14" s="86"/>
      <c r="E14" s="86"/>
      <c r="F14" s="86"/>
      <c r="G14" s="86"/>
      <c r="H14" s="86"/>
    </row>
    <row r="15" spans="1:8">
      <c r="A15" s="86"/>
      <c r="B15" s="86"/>
      <c r="C15" s="86"/>
      <c r="D15" s="86"/>
      <c r="E15" s="86"/>
      <c r="F15" s="86"/>
      <c r="G15" s="86"/>
      <c r="H15" s="86"/>
    </row>
    <row r="16" spans="1:8">
      <c r="A16" s="86"/>
      <c r="B16" s="86"/>
      <c r="C16" s="86"/>
      <c r="D16" s="86"/>
      <c r="E16" s="86"/>
      <c r="F16" s="86"/>
      <c r="G16" s="86"/>
      <c r="H16" s="86"/>
    </row>
    <row r="17" spans="1:8">
      <c r="A17" s="86"/>
      <c r="B17" s="86"/>
      <c r="C17" s="86"/>
      <c r="D17" s="86"/>
      <c r="E17" s="86"/>
      <c r="F17" s="86"/>
      <c r="G17" s="86"/>
      <c r="H17" s="86"/>
    </row>
    <row r="18" spans="1:8">
      <c r="A18" s="86"/>
      <c r="B18" s="86"/>
      <c r="C18" s="86"/>
      <c r="D18" s="86"/>
      <c r="E18" s="86"/>
      <c r="F18" s="86"/>
      <c r="G18" s="86"/>
      <c r="H18" s="86"/>
    </row>
    <row r="19" spans="1:8">
      <c r="A19" s="86"/>
      <c r="B19" s="86"/>
      <c r="C19" s="86"/>
      <c r="D19" s="86"/>
      <c r="E19" s="86"/>
      <c r="F19" s="86"/>
      <c r="G19" s="86"/>
      <c r="H19" s="86"/>
    </row>
    <row r="20" spans="1:8">
      <c r="A20" s="86"/>
      <c r="B20" s="86"/>
      <c r="C20" s="86"/>
      <c r="D20" s="86"/>
      <c r="E20" s="86"/>
      <c r="F20" s="86"/>
      <c r="G20" s="86"/>
      <c r="H20" s="86"/>
    </row>
    <row r="21" spans="1:8">
      <c r="A21" s="86"/>
      <c r="B21" s="86"/>
      <c r="C21" s="86"/>
      <c r="D21" s="86"/>
      <c r="E21" s="86"/>
      <c r="F21" s="86"/>
      <c r="G21" s="86"/>
      <c r="H21" s="86"/>
    </row>
    <row r="22" spans="1:8">
      <c r="A22" s="86"/>
      <c r="B22" s="86"/>
      <c r="C22" s="86"/>
      <c r="D22" s="86"/>
      <c r="E22" s="86"/>
      <c r="F22" s="86"/>
      <c r="G22" s="86"/>
      <c r="H22" s="86"/>
    </row>
    <row r="23" spans="1:8">
      <c r="A23" s="86"/>
      <c r="B23" s="86"/>
      <c r="C23" s="86"/>
      <c r="D23" s="86"/>
      <c r="E23" s="86"/>
      <c r="F23" s="86"/>
      <c r="G23" s="86"/>
      <c r="H23" s="86"/>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8F261-53E3-4C96-AE53-844CFAB887FC}">
  <dimension ref="A1:C26"/>
  <sheetViews>
    <sheetView workbookViewId="0">
      <selection activeCell="A22" sqref="A22"/>
    </sheetView>
  </sheetViews>
  <sheetFormatPr defaultColWidth="8.625" defaultRowHeight="11.25"/>
  <cols>
    <col min="1" max="1" width="55.625" style="62" bestFit="1" customWidth="1"/>
    <col min="2" max="2" width="6.625" style="62" bestFit="1" customWidth="1"/>
    <col min="3" max="3" width="36.875" style="62" bestFit="1" customWidth="1"/>
    <col min="4" max="16384" width="8.625" style="62"/>
  </cols>
  <sheetData>
    <row r="1" spans="1:3">
      <c r="A1" s="62" t="s">
        <v>198</v>
      </c>
    </row>
    <row r="2" spans="1:3">
      <c r="A2" s="63" t="s">
        <v>181</v>
      </c>
      <c r="B2" s="63"/>
      <c r="C2" s="63" t="s">
        <v>193</v>
      </c>
    </row>
    <row r="3" spans="1:3">
      <c r="A3" s="64" t="s">
        <v>205</v>
      </c>
      <c r="B3" s="64" t="s">
        <v>183</v>
      </c>
      <c r="C3" s="64"/>
    </row>
    <row r="4" spans="1:3">
      <c r="A4" s="64" t="s">
        <v>212</v>
      </c>
      <c r="B4" s="64" t="s">
        <v>183</v>
      </c>
      <c r="C4" s="64"/>
    </row>
    <row r="5" spans="1:3">
      <c r="A5" s="64" t="s">
        <v>213</v>
      </c>
      <c r="B5" s="64" t="s">
        <v>183</v>
      </c>
      <c r="C5" s="64" t="s">
        <v>387</v>
      </c>
    </row>
    <row r="6" spans="1:3">
      <c r="A6" s="64" t="s">
        <v>246</v>
      </c>
      <c r="B6" s="64" t="s">
        <v>183</v>
      </c>
      <c r="C6" s="64"/>
    </row>
    <row r="7" spans="1:3">
      <c r="A7" s="64" t="s">
        <v>248</v>
      </c>
      <c r="B7" s="64" t="s">
        <v>183</v>
      </c>
      <c r="C7" s="64"/>
    </row>
    <row r="8" spans="1:3">
      <c r="A8" s="64" t="s">
        <v>239</v>
      </c>
      <c r="B8" s="64" t="s">
        <v>183</v>
      </c>
      <c r="C8" s="64" t="s">
        <v>253</v>
      </c>
    </row>
    <row r="9" spans="1:3">
      <c r="A9" s="64" t="s">
        <v>241</v>
      </c>
      <c r="B9" s="64" t="s">
        <v>183</v>
      </c>
      <c r="C9" s="64" t="s">
        <v>240</v>
      </c>
    </row>
    <row r="10" spans="1:3">
      <c r="A10" s="64" t="s">
        <v>242</v>
      </c>
      <c r="B10" s="64" t="s">
        <v>183</v>
      </c>
      <c r="C10" s="64" t="s">
        <v>653</v>
      </c>
    </row>
    <row r="11" spans="1:3">
      <c r="A11" s="64" t="s">
        <v>244</v>
      </c>
      <c r="B11" s="64" t="s">
        <v>183</v>
      </c>
      <c r="C11" s="64" t="s">
        <v>245</v>
      </c>
    </row>
    <row r="12" spans="1:3">
      <c r="A12" s="256" t="s">
        <v>247</v>
      </c>
      <c r="B12" s="64" t="s">
        <v>183</v>
      </c>
      <c r="C12" s="64" t="s">
        <v>243</v>
      </c>
    </row>
    <row r="13" spans="1:3">
      <c r="A13" s="64" t="s">
        <v>249</v>
      </c>
      <c r="B13" s="64" t="s">
        <v>183</v>
      </c>
      <c r="C13" s="64" t="s">
        <v>253</v>
      </c>
    </row>
    <row r="14" spans="1:3">
      <c r="A14" s="256" t="s">
        <v>250</v>
      </c>
      <c r="B14" s="64" t="s">
        <v>183</v>
      </c>
      <c r="C14" s="64" t="s">
        <v>243</v>
      </c>
    </row>
    <row r="15" spans="1:3">
      <c r="A15" s="64" t="s">
        <v>238</v>
      </c>
      <c r="B15" s="64" t="s">
        <v>183</v>
      </c>
      <c r="C15" s="64" t="s">
        <v>253</v>
      </c>
    </row>
    <row r="16" spans="1:3">
      <c r="A16" s="64" t="s">
        <v>251</v>
      </c>
      <c r="B16" s="64" t="s">
        <v>183</v>
      </c>
      <c r="C16" s="64"/>
    </row>
    <row r="17" spans="1:3">
      <c r="A17" s="256" t="s">
        <v>252</v>
      </c>
      <c r="B17" s="64" t="s">
        <v>183</v>
      </c>
      <c r="C17" s="64" t="s">
        <v>243</v>
      </c>
    </row>
    <row r="18" spans="1:3">
      <c r="A18" s="64" t="s">
        <v>269</v>
      </c>
      <c r="B18" s="64" t="s">
        <v>183</v>
      </c>
      <c r="C18" s="64" t="s">
        <v>253</v>
      </c>
    </row>
    <row r="19" spans="1:3">
      <c r="A19" s="256" t="s">
        <v>270</v>
      </c>
      <c r="B19" s="64" t="s">
        <v>183</v>
      </c>
      <c r="C19" s="64" t="s">
        <v>243</v>
      </c>
    </row>
    <row r="20" spans="1:3">
      <c r="A20" s="64" t="s">
        <v>271</v>
      </c>
      <c r="B20" s="64" t="s">
        <v>183</v>
      </c>
      <c r="C20" s="64" t="s">
        <v>272</v>
      </c>
    </row>
    <row r="21" spans="1:3">
      <c r="A21" s="64" t="s">
        <v>352</v>
      </c>
      <c r="B21" s="64" t="s">
        <v>183</v>
      </c>
      <c r="C21" s="64" t="s">
        <v>272</v>
      </c>
    </row>
    <row r="22" spans="1:3">
      <c r="A22" s="64" t="s">
        <v>342</v>
      </c>
      <c r="B22" s="64" t="s">
        <v>183</v>
      </c>
      <c r="C22" s="64"/>
    </row>
    <row r="23" spans="1:3">
      <c r="A23" s="64" t="s">
        <v>334</v>
      </c>
      <c r="B23" s="64" t="s">
        <v>183</v>
      </c>
      <c r="C23" s="64" t="s">
        <v>335</v>
      </c>
    </row>
    <row r="24" spans="1:3">
      <c r="A24" s="64" t="s">
        <v>341</v>
      </c>
      <c r="B24" s="64" t="s">
        <v>183</v>
      </c>
      <c r="C24" s="64"/>
    </row>
    <row r="25" spans="1:3">
      <c r="A25" s="62" t="s">
        <v>353</v>
      </c>
    </row>
    <row r="26" spans="1:3">
      <c r="A26" s="62" t="s">
        <v>642</v>
      </c>
    </row>
  </sheetData>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235A-3A29-4CF8-AB89-C03FD400B7AF}">
  <dimension ref="A1:G100"/>
  <sheetViews>
    <sheetView workbookViewId="0">
      <selection activeCell="C6" sqref="C6"/>
    </sheetView>
  </sheetViews>
  <sheetFormatPr defaultColWidth="8.625" defaultRowHeight="11.25"/>
  <cols>
    <col min="1" max="1" width="1.5" style="73" customWidth="1"/>
    <col min="2" max="2" width="33.375" style="73" customWidth="1"/>
    <col min="3" max="3" width="17.375" style="77" customWidth="1"/>
    <col min="4" max="4" width="35.25" style="73" customWidth="1"/>
    <col min="5" max="11" width="17.375" style="73" customWidth="1"/>
    <col min="12" max="16384" width="8.625" style="73"/>
  </cols>
  <sheetData>
    <row r="1" spans="2:7">
      <c r="B1" s="102" t="s">
        <v>400</v>
      </c>
      <c r="C1" s="204" t="s">
        <v>515</v>
      </c>
    </row>
    <row r="2" spans="2:7">
      <c r="B2" s="102"/>
      <c r="C2" s="205" t="s">
        <v>413</v>
      </c>
    </row>
    <row r="3" spans="2:7">
      <c r="B3" s="102"/>
      <c r="C3" s="73"/>
    </row>
    <row r="4" spans="2:7">
      <c r="B4" s="103" t="s">
        <v>407</v>
      </c>
    </row>
    <row r="5" spans="2:7">
      <c r="B5" s="264" t="s">
        <v>1</v>
      </c>
      <c r="C5" s="85" t="s">
        <v>669</v>
      </c>
    </row>
    <row r="6" spans="2:7">
      <c r="B6" s="105" t="s">
        <v>216</v>
      </c>
      <c r="C6" s="85">
        <v>4483</v>
      </c>
      <c r="D6" s="80" t="s">
        <v>518</v>
      </c>
      <c r="E6" s="80"/>
      <c r="F6" s="80"/>
      <c r="G6" s="80"/>
    </row>
    <row r="7" spans="2:7">
      <c r="B7" s="97" t="s">
        <v>217</v>
      </c>
      <c r="C7" s="85">
        <v>2100</v>
      </c>
      <c r="D7" s="80" t="s">
        <v>518</v>
      </c>
      <c r="E7" s="80"/>
      <c r="F7" s="80"/>
      <c r="G7" s="80"/>
    </row>
    <row r="8" spans="2:7">
      <c r="B8" s="97" t="s">
        <v>218</v>
      </c>
      <c r="C8" s="85">
        <v>2506</v>
      </c>
      <c r="D8" s="80" t="s">
        <v>519</v>
      </c>
      <c r="E8" s="80"/>
      <c r="F8" s="80"/>
      <c r="G8" s="80"/>
    </row>
    <row r="9" spans="2:7">
      <c r="B9" s="97" t="s">
        <v>219</v>
      </c>
      <c r="C9" s="85">
        <v>1977</v>
      </c>
      <c r="D9" s="80" t="s">
        <v>518</v>
      </c>
      <c r="E9" s="80"/>
      <c r="F9" s="80"/>
      <c r="G9" s="80"/>
    </row>
    <row r="10" spans="2:7" ht="22.5">
      <c r="B10" s="106" t="s">
        <v>236</v>
      </c>
      <c r="C10" s="83">
        <v>1122</v>
      </c>
      <c r="D10" s="80" t="s">
        <v>518</v>
      </c>
    </row>
    <row r="11" spans="2:7">
      <c r="B11" s="104" t="s">
        <v>215</v>
      </c>
      <c r="C11" s="85">
        <v>3600</v>
      </c>
      <c r="D11" s="80" t="s">
        <v>520</v>
      </c>
      <c r="E11" s="80"/>
      <c r="F11" s="80"/>
      <c r="G11" s="80"/>
    </row>
    <row r="12" spans="2:7">
      <c r="B12" s="97" t="s">
        <v>220</v>
      </c>
      <c r="C12" s="85">
        <v>1000</v>
      </c>
      <c r="D12" s="80" t="s">
        <v>521</v>
      </c>
      <c r="E12" s="80"/>
      <c r="F12" s="80"/>
      <c r="G12" s="80"/>
    </row>
    <row r="13" spans="2:7">
      <c r="B13" s="80" t="s">
        <v>406</v>
      </c>
      <c r="C13" s="109"/>
      <c r="D13" s="80"/>
      <c r="E13" s="80"/>
      <c r="F13" s="80"/>
      <c r="G13" s="80"/>
    </row>
    <row r="14" spans="2:7">
      <c r="B14" s="97" t="s">
        <v>484</v>
      </c>
      <c r="C14" s="85" t="s">
        <v>486</v>
      </c>
      <c r="D14" s="80" t="s">
        <v>522</v>
      </c>
      <c r="E14" s="80"/>
      <c r="F14" s="80"/>
      <c r="G14" s="80"/>
    </row>
    <row r="15" spans="2:7">
      <c r="B15" s="99" t="s">
        <v>258</v>
      </c>
      <c r="C15" s="83">
        <v>54</v>
      </c>
      <c r="D15" s="80" t="s">
        <v>523</v>
      </c>
      <c r="E15" s="80"/>
      <c r="F15" s="80"/>
      <c r="G15" s="80"/>
    </row>
    <row r="16" spans="2:7">
      <c r="B16" s="99" t="s">
        <v>503</v>
      </c>
      <c r="C16" s="83">
        <v>350</v>
      </c>
      <c r="D16" s="80" t="s">
        <v>524</v>
      </c>
      <c r="E16" s="80"/>
      <c r="F16" s="80"/>
      <c r="G16" s="80"/>
    </row>
    <row r="17" spans="2:7">
      <c r="B17" s="99" t="s">
        <v>259</v>
      </c>
      <c r="C17" s="83">
        <v>8500</v>
      </c>
      <c r="D17" s="80" t="s">
        <v>518</v>
      </c>
      <c r="E17" s="80"/>
      <c r="F17" s="80"/>
      <c r="G17" s="80"/>
    </row>
    <row r="18" spans="2:7">
      <c r="B18" s="99" t="s">
        <v>260</v>
      </c>
      <c r="C18" s="83">
        <v>2500</v>
      </c>
      <c r="D18" s="80" t="s">
        <v>525</v>
      </c>
      <c r="E18" s="80"/>
      <c r="F18" s="80"/>
      <c r="G18" s="80"/>
    </row>
    <row r="19" spans="2:7">
      <c r="B19" s="99" t="s">
        <v>398</v>
      </c>
      <c r="C19" s="83" t="s">
        <v>399</v>
      </c>
      <c r="D19" s="80" t="s">
        <v>408</v>
      </c>
      <c r="E19" s="80"/>
      <c r="F19" s="80"/>
      <c r="G19" s="80"/>
    </row>
    <row r="20" spans="2:7">
      <c r="B20" s="99" t="s">
        <v>254</v>
      </c>
      <c r="C20" s="85">
        <v>11</v>
      </c>
      <c r="D20" s="80" t="s">
        <v>526</v>
      </c>
      <c r="E20" s="80"/>
      <c r="F20" s="80"/>
      <c r="G20" s="80"/>
    </row>
    <row r="21" spans="2:7">
      <c r="C21" s="109"/>
      <c r="D21" s="80" t="s">
        <v>409</v>
      </c>
      <c r="E21" s="80"/>
      <c r="F21" s="80"/>
      <c r="G21" s="80"/>
    </row>
    <row r="22" spans="2:7">
      <c r="B22" s="98" t="s">
        <v>412</v>
      </c>
      <c r="C22" s="101"/>
      <c r="D22" s="80"/>
    </row>
    <row r="23" spans="2:7">
      <c r="B23" s="97" t="s">
        <v>484</v>
      </c>
      <c r="C23" s="85" t="s">
        <v>485</v>
      </c>
      <c r="D23" s="80" t="s">
        <v>522</v>
      </c>
      <c r="E23" s="80"/>
      <c r="F23" s="80"/>
      <c r="G23" s="80"/>
    </row>
    <row r="24" spans="2:7">
      <c r="B24" s="99" t="s">
        <v>257</v>
      </c>
      <c r="C24" s="85">
        <v>10</v>
      </c>
      <c r="D24" s="80" t="s">
        <v>527</v>
      </c>
    </row>
    <row r="25" spans="2:7">
      <c r="B25" s="99" t="s">
        <v>506</v>
      </c>
      <c r="C25" s="85">
        <v>164</v>
      </c>
      <c r="D25" s="80" t="s">
        <v>524</v>
      </c>
    </row>
    <row r="26" spans="2:7">
      <c r="B26" s="99" t="s">
        <v>505</v>
      </c>
      <c r="C26" s="85">
        <v>1148</v>
      </c>
      <c r="D26" s="80" t="s">
        <v>518</v>
      </c>
    </row>
    <row r="27" spans="2:7">
      <c r="B27" s="99" t="s">
        <v>510</v>
      </c>
      <c r="C27" s="85"/>
      <c r="D27" s="80" t="s">
        <v>525</v>
      </c>
    </row>
    <row r="28" spans="2:7">
      <c r="B28" s="107" t="s">
        <v>398</v>
      </c>
      <c r="C28" s="85" t="s">
        <v>399</v>
      </c>
      <c r="D28" s="80" t="s">
        <v>408</v>
      </c>
    </row>
    <row r="29" spans="2:7">
      <c r="B29" s="99" t="s">
        <v>263</v>
      </c>
      <c r="C29" s="85">
        <v>4</v>
      </c>
      <c r="D29" s="73" t="s">
        <v>528</v>
      </c>
    </row>
    <row r="30" spans="2:7">
      <c r="C30" s="109"/>
    </row>
    <row r="31" spans="2:7">
      <c r="B31" s="102" t="s">
        <v>413</v>
      </c>
      <c r="C31" s="101"/>
      <c r="D31" s="80"/>
    </row>
    <row r="32" spans="2:7">
      <c r="B32" s="108" t="s">
        <v>233</v>
      </c>
      <c r="C32" s="95">
        <f>C56</f>
        <v>53</v>
      </c>
      <c r="D32" s="128" t="str">
        <f>IF(C32&gt;0,"仮設トイレの手配が必要です","")</f>
        <v>仮設トイレの手配が必要です</v>
      </c>
    </row>
    <row r="33" spans="1:7">
      <c r="B33" s="99" t="s">
        <v>410</v>
      </c>
      <c r="C33" s="201">
        <f>IF(C14="単独",IF(C63&gt;0,0,-1*C63),IF(C64&gt;0,0,-1*C64))</f>
        <v>0</v>
      </c>
      <c r="D33" s="128" t="str">
        <f>IF(C33&gt;0,"し尿処理の支援が必要です","")</f>
        <v/>
      </c>
    </row>
    <row r="34" spans="1:7">
      <c r="B34" s="99" t="s">
        <v>415</v>
      </c>
      <c r="C34" s="95">
        <f>C70</f>
        <v>0</v>
      </c>
      <c r="D34" s="128" t="str">
        <f>IF(C34&gt;0,"バキューム車の手配が必要です","")</f>
        <v/>
      </c>
    </row>
    <row r="35" spans="1:7">
      <c r="B35" s="99" t="s">
        <v>411</v>
      </c>
      <c r="C35" s="203">
        <f>IF(C23="単独",IF(C78&gt;0,0,-1*C78),IF(C79&gt;0,0,-1*C79))</f>
        <v>1.0392000000000001</v>
      </c>
      <c r="D35" s="128" t="str">
        <f>IF(C35&gt;0,"焼却の支援が必要です","")</f>
        <v>焼却の支援が必要です</v>
      </c>
    </row>
    <row r="36" spans="1:7">
      <c r="B36" s="97" t="s">
        <v>414</v>
      </c>
      <c r="C36" s="95">
        <f>C85</f>
        <v>1</v>
      </c>
      <c r="D36" s="128" t="str">
        <f>IF(C36&gt;0,"パッカー車の手配が必要です","")</f>
        <v>パッカー車の手配が必要です</v>
      </c>
      <c r="E36" s="80"/>
      <c r="F36" s="80"/>
      <c r="G36" s="80"/>
    </row>
    <row r="37" spans="1:7">
      <c r="B37" s="80" t="s">
        <v>516</v>
      </c>
      <c r="C37" s="109"/>
      <c r="D37" s="128"/>
      <c r="E37" s="80"/>
      <c r="F37" s="80"/>
      <c r="G37" s="80"/>
    </row>
    <row r="38" spans="1:7">
      <c r="B38" s="80"/>
      <c r="C38" s="109"/>
      <c r="D38" s="80"/>
      <c r="E38" s="80"/>
      <c r="F38" s="80"/>
      <c r="G38" s="80"/>
    </row>
    <row r="39" spans="1:7">
      <c r="A39" s="206"/>
      <c r="B39" s="207" t="s">
        <v>514</v>
      </c>
      <c r="C39" s="208"/>
      <c r="D39" s="207"/>
      <c r="E39" s="80"/>
      <c r="F39" s="80"/>
      <c r="G39" s="80"/>
    </row>
    <row r="40" spans="1:7">
      <c r="B40" s="80"/>
      <c r="C40" s="109"/>
      <c r="D40" s="80"/>
      <c r="E40" s="80"/>
      <c r="F40" s="80"/>
      <c r="G40" s="80"/>
    </row>
    <row r="41" spans="1:7" s="180" customFormat="1">
      <c r="B41" s="180" t="s">
        <v>221</v>
      </c>
    </row>
    <row r="42" spans="1:7" s="180" customFormat="1">
      <c r="B42" s="181" t="s">
        <v>222</v>
      </c>
      <c r="C42" s="181" t="s">
        <v>223</v>
      </c>
      <c r="D42" s="182"/>
    </row>
    <row r="43" spans="1:7" s="180" customFormat="1">
      <c r="B43" s="183" t="s">
        <v>224</v>
      </c>
      <c r="C43" s="184">
        <v>1.7</v>
      </c>
      <c r="D43" s="182" t="s">
        <v>487</v>
      </c>
      <c r="E43" s="185"/>
    </row>
    <row r="44" spans="1:7" s="180" customFormat="1">
      <c r="B44" s="183" t="s">
        <v>225</v>
      </c>
      <c r="C44" s="186">
        <v>3</v>
      </c>
      <c r="D44" s="187" t="s">
        <v>488</v>
      </c>
      <c r="E44" s="185"/>
    </row>
    <row r="45" spans="1:7" s="180" customFormat="1">
      <c r="B45" s="183" t="s">
        <v>226</v>
      </c>
      <c r="C45" s="186">
        <v>400</v>
      </c>
      <c r="D45" s="187" t="s">
        <v>489</v>
      </c>
      <c r="E45" s="185"/>
    </row>
    <row r="46" spans="1:7" s="180" customFormat="1">
      <c r="B46" s="188" t="s">
        <v>490</v>
      </c>
      <c r="C46" s="189"/>
      <c r="D46" s="187"/>
      <c r="E46" s="185"/>
    </row>
    <row r="47" spans="1:7" s="180" customFormat="1">
      <c r="B47" s="188"/>
      <c r="C47" s="189"/>
      <c r="D47" s="187"/>
      <c r="E47" s="185"/>
    </row>
    <row r="48" spans="1:7" s="180" customFormat="1">
      <c r="B48" s="180" t="s">
        <v>227</v>
      </c>
    </row>
    <row r="49" spans="2:4" s="180" customFormat="1">
      <c r="B49" s="190" t="s">
        <v>228</v>
      </c>
      <c r="C49" s="191">
        <f>C12/C7</f>
        <v>0.47619047619047616</v>
      </c>
    </row>
    <row r="50" spans="2:4" s="180" customFormat="1">
      <c r="B50" s="190" t="s">
        <v>229</v>
      </c>
      <c r="C50" s="192">
        <f>C11</f>
        <v>3600</v>
      </c>
      <c r="D50" s="180" t="s">
        <v>491</v>
      </c>
    </row>
    <row r="51" spans="2:4" s="180" customFormat="1">
      <c r="B51" s="190" t="s">
        <v>230</v>
      </c>
      <c r="C51" s="192">
        <f>(C8-C11*(C8/C6))*C49*0.5</f>
        <v>117.52323592832177</v>
      </c>
      <c r="D51" s="180" t="s">
        <v>491</v>
      </c>
    </row>
    <row r="52" spans="2:4" s="180" customFormat="1">
      <c r="B52" s="190" t="s">
        <v>231</v>
      </c>
      <c r="C52" s="192">
        <f>C9*(1-C11/C6)</f>
        <v>389.40240910104842</v>
      </c>
      <c r="D52" s="180" t="s">
        <v>491</v>
      </c>
    </row>
    <row r="53" spans="2:4" s="180" customFormat="1">
      <c r="B53" s="190" t="s">
        <v>232</v>
      </c>
      <c r="C53" s="192">
        <f>C50+C51</f>
        <v>3717.5232359283218</v>
      </c>
      <c r="D53" s="180" t="s">
        <v>491</v>
      </c>
    </row>
    <row r="54" spans="2:4" s="180" customFormat="1">
      <c r="B54" s="190" t="s">
        <v>492</v>
      </c>
      <c r="C54" s="192">
        <f>$C$43*(C53+C52)</f>
        <v>6981.7735965499296</v>
      </c>
      <c r="D54" s="180" t="s">
        <v>494</v>
      </c>
    </row>
    <row r="55" spans="2:4" s="180" customFormat="1">
      <c r="B55" s="190" t="s">
        <v>495</v>
      </c>
      <c r="C55" s="192">
        <f>C54*365/1000</f>
        <v>2548.3473627407243</v>
      </c>
      <c r="D55" s="180" t="s">
        <v>496</v>
      </c>
    </row>
    <row r="56" spans="2:4" s="180" customFormat="1">
      <c r="B56" s="190" t="s">
        <v>233</v>
      </c>
      <c r="C56" s="200">
        <f>ROUNDUP((C54*C44)/C45,0)</f>
        <v>53</v>
      </c>
      <c r="D56" s="180" t="s">
        <v>497</v>
      </c>
    </row>
    <row r="57" spans="2:4" s="180" customFormat="1"/>
    <row r="58" spans="2:4" s="180" customFormat="1">
      <c r="B58" s="180" t="s">
        <v>234</v>
      </c>
    </row>
    <row r="59" spans="2:4" s="180" customFormat="1">
      <c r="B59" s="193" t="s">
        <v>499</v>
      </c>
      <c r="C59" s="194">
        <f>C15*C16-C17</f>
        <v>10400</v>
      </c>
      <c r="D59" s="180" t="s">
        <v>498</v>
      </c>
    </row>
    <row r="60" spans="2:4" s="180" customFormat="1">
      <c r="B60" s="193" t="s">
        <v>500</v>
      </c>
      <c r="C60" s="195">
        <f>C59*IF(ISNUMBER(C19)=TRUE,C19/100,C18/C17)</f>
        <v>3058.8235294117649</v>
      </c>
      <c r="D60" s="180" t="s">
        <v>498</v>
      </c>
    </row>
    <row r="61" spans="2:4" s="180" customFormat="1">
      <c r="C61" s="259"/>
    </row>
    <row r="62" spans="2:4" s="180" customFormat="1">
      <c r="B62" s="180" t="s">
        <v>661</v>
      </c>
      <c r="C62" s="259"/>
    </row>
    <row r="63" spans="2:4" s="180" customFormat="1">
      <c r="B63" s="193" t="s">
        <v>662</v>
      </c>
      <c r="C63" s="195">
        <f>C59-C54/1000*365</f>
        <v>7851.6526372592762</v>
      </c>
    </row>
    <row r="64" spans="2:4" s="180" customFormat="1">
      <c r="B64" s="193" t="s">
        <v>663</v>
      </c>
      <c r="C64" s="195">
        <f>C60-C54/1000*365</f>
        <v>510.47616667104057</v>
      </c>
    </row>
    <row r="65" spans="2:7" s="180" customFormat="1"/>
    <row r="66" spans="2:7">
      <c r="B66" s="73" t="s">
        <v>321</v>
      </c>
      <c r="C66" s="110"/>
    </row>
    <row r="67" spans="2:7">
      <c r="B67" s="99" t="s">
        <v>256</v>
      </c>
      <c r="C67" s="76">
        <f>C20*1000*3.7</f>
        <v>40700</v>
      </c>
      <c r="D67" s="73" t="s">
        <v>493</v>
      </c>
    </row>
    <row r="68" spans="2:7">
      <c r="B68" s="99" t="s">
        <v>265</v>
      </c>
      <c r="C68" s="76">
        <f>C17*1000/365</f>
        <v>23287.671232876713</v>
      </c>
      <c r="D68" s="73" t="s">
        <v>493</v>
      </c>
    </row>
    <row r="69" spans="2:7">
      <c r="B69" s="99" t="s">
        <v>266</v>
      </c>
      <c r="C69" s="76">
        <f>C67-+C68</f>
        <v>17412.328767123287</v>
      </c>
      <c r="D69" s="73" t="s">
        <v>493</v>
      </c>
    </row>
    <row r="70" spans="2:7">
      <c r="B70" s="99" t="s">
        <v>255</v>
      </c>
      <c r="C70" s="76">
        <f>IF((C54-C69)&gt;0,ROUNDUP(((C54-C69)/3700),0),0)</f>
        <v>0</v>
      </c>
      <c r="D70" s="73" t="s">
        <v>504</v>
      </c>
    </row>
    <row r="71" spans="2:7">
      <c r="B71" s="80"/>
      <c r="C71" s="109"/>
      <c r="D71" s="80"/>
      <c r="E71" s="80"/>
      <c r="F71" s="80"/>
      <c r="G71" s="80"/>
    </row>
    <row r="72" spans="2:7" s="196" customFormat="1">
      <c r="B72" s="197" t="s">
        <v>235</v>
      </c>
      <c r="D72" s="180"/>
    </row>
    <row r="73" spans="2:7" s="180" customFormat="1">
      <c r="B73" s="198" t="s">
        <v>237</v>
      </c>
      <c r="C73" s="111">
        <f>C11*C10/1000000</f>
        <v>4.0392000000000001</v>
      </c>
      <c r="D73" s="180" t="s">
        <v>502</v>
      </c>
    </row>
    <row r="74" spans="2:7">
      <c r="B74" s="80"/>
      <c r="C74" s="109"/>
      <c r="D74" s="80"/>
      <c r="E74" s="80"/>
      <c r="F74" s="80"/>
      <c r="G74" s="80"/>
    </row>
    <row r="75" spans="2:7">
      <c r="B75" s="73" t="s">
        <v>322</v>
      </c>
      <c r="C75" s="110"/>
    </row>
    <row r="76" spans="2:7">
      <c r="B76" s="99" t="s">
        <v>507</v>
      </c>
      <c r="C76" s="76">
        <f>C24*C25-C26</f>
        <v>492</v>
      </c>
      <c r="D76" s="73" t="s">
        <v>508</v>
      </c>
    </row>
    <row r="77" spans="2:7">
      <c r="B77" s="99" t="s">
        <v>509</v>
      </c>
      <c r="C77" s="76">
        <f>C76*IF(ISNUMBER(C28)=TRUE,C28/100,C27/C26)</f>
        <v>0</v>
      </c>
      <c r="D77" s="73" t="s">
        <v>508</v>
      </c>
    </row>
    <row r="78" spans="2:7">
      <c r="B78" s="99" t="s">
        <v>261</v>
      </c>
      <c r="C78" s="112">
        <f>C76/C25-C73</f>
        <v>-1.0392000000000001</v>
      </c>
      <c r="D78" s="73" t="s">
        <v>511</v>
      </c>
    </row>
    <row r="79" spans="2:7">
      <c r="B79" s="99" t="s">
        <v>262</v>
      </c>
      <c r="C79" s="112">
        <f>C77/C25-C73</f>
        <v>-4.0392000000000001</v>
      </c>
      <c r="D79" s="73" t="s">
        <v>511</v>
      </c>
    </row>
    <row r="80" spans="2:7">
      <c r="C80" s="202"/>
    </row>
    <row r="81" spans="2:4">
      <c r="B81" s="73" t="s">
        <v>323</v>
      </c>
      <c r="C81" s="110"/>
    </row>
    <row r="82" spans="2:4">
      <c r="B82" s="99" t="s">
        <v>264</v>
      </c>
      <c r="C82" s="76">
        <f>C29*2</f>
        <v>8</v>
      </c>
      <c r="D82" s="73" t="s">
        <v>512</v>
      </c>
    </row>
    <row r="83" spans="2:4">
      <c r="B83" s="99" t="s">
        <v>267</v>
      </c>
      <c r="C83" s="76">
        <f>C26/220</f>
        <v>5.2181818181818178</v>
      </c>
      <c r="D83" s="73" t="s">
        <v>513</v>
      </c>
    </row>
    <row r="84" spans="2:4">
      <c r="B84" s="99" t="s">
        <v>268</v>
      </c>
      <c r="C84" s="76">
        <f>C82-+C83</f>
        <v>2.7818181818181822</v>
      </c>
      <c r="D84" s="73" t="s">
        <v>501</v>
      </c>
    </row>
    <row r="85" spans="2:4">
      <c r="B85" s="99" t="s">
        <v>255</v>
      </c>
      <c r="C85" s="76">
        <f>IF((C84-C73)&lt;0,ROUNDUP(((C73-C84)/2),0),0)</f>
        <v>1</v>
      </c>
      <c r="D85" s="73" t="s">
        <v>517</v>
      </c>
    </row>
    <row r="86" spans="2:4">
      <c r="C86" s="110"/>
    </row>
    <row r="87" spans="2:4">
      <c r="C87" s="110"/>
    </row>
    <row r="88" spans="2:4">
      <c r="C88" s="110"/>
    </row>
    <row r="89" spans="2:4">
      <c r="C89" s="110"/>
    </row>
    <row r="90" spans="2:4">
      <c r="C90" s="110"/>
    </row>
    <row r="91" spans="2:4">
      <c r="C91" s="110"/>
    </row>
    <row r="92" spans="2:4">
      <c r="C92" s="110"/>
    </row>
    <row r="93" spans="2:4">
      <c r="C93" s="110"/>
    </row>
    <row r="94" spans="2:4">
      <c r="C94" s="110"/>
    </row>
    <row r="95" spans="2:4">
      <c r="C95" s="110"/>
    </row>
    <row r="96" spans="2:4">
      <c r="C96" s="110"/>
    </row>
    <row r="97" spans="3:3">
      <c r="C97" s="110"/>
    </row>
    <row r="98" spans="3:3">
      <c r="C98" s="110"/>
    </row>
    <row r="99" spans="3:3">
      <c r="C99" s="110"/>
    </row>
    <row r="100" spans="3:3">
      <c r="C100" s="110"/>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ReadMe</vt:lpstr>
      <vt:lpstr>企画調整Ｇ</vt:lpstr>
      <vt:lpstr>組織体制</vt:lpstr>
      <vt:lpstr>情報収集Ｇ</vt:lpstr>
      <vt:lpstr>連絡先</vt:lpstr>
      <vt:lpstr>環境省報告ﾌｫｰﾏｯﾄ</vt:lpstr>
      <vt:lpstr>クロノロ</vt:lpstr>
      <vt:lpstr>生活系ごみG</vt:lpstr>
      <vt:lpstr>し尿避難所ごみ</vt:lpstr>
      <vt:lpstr>災害廃棄物G</vt:lpstr>
      <vt:lpstr>発生量処理能力</vt:lpstr>
      <vt:lpstr>契約G</vt:lpstr>
      <vt:lpstr>仮置場Ｇ</vt:lpstr>
      <vt:lpstr>仮置場</vt:lpstr>
      <vt:lpstr>（解体G）</vt:lpstr>
      <vt:lpstr>環境省報告ﾌｫｰﾏｯﾄ!Print_Area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