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E3383\Box\070 2024年 案件フォルダ\000030937_北海24-00003_２４北海道協議会WG\07_その他\（５）計画策定・改定ＷＧの運営支援\発生量・処理可能量\環境省からの確認結果\"/>
    </mc:Choice>
  </mc:AlternateContent>
  <xr:revisionPtr revIDLastSave="0" documentId="13_ncr:1_{47350076-B49E-4D1B-B098-300D64872374}" xr6:coauthVersionLast="47" xr6:coauthVersionMax="47" xr10:uidLastSave="{00000000-0000-0000-0000-000000000000}"/>
  <bookViews>
    <workbookView xWindow="-108" yWindow="-108" windowWidth="23256" windowHeight="12456" tabRatio="662" xr2:uid="{00000000-000D-0000-FFFF-FFFF00000000}"/>
  </bookViews>
  <sheets>
    <sheet name="入力用シート" sheetId="140" r:id="rId1"/>
    <sheet name="し尿、仮設トイレ、避難所ごみ" sheetId="132" r:id="rId2"/>
    <sheet name="片付けごみ発生量" sheetId="142" r:id="rId3"/>
    <sheet name="解体等廃棄物発生量" sheetId="127" r:id="rId4"/>
    <sheet name="仮置場" sheetId="120" r:id="rId5"/>
    <sheet name="焼却施設" sheetId="138" r:id="rId6"/>
    <sheet name="最終処分場" sheetId="139" r:id="rId7"/>
    <sheet name="処理フロー(計算)" sheetId="143" r:id="rId8"/>
    <sheet name="高位シナリオ" sheetId="146" r:id="rId9"/>
    <sheet name="最大能力" sheetId="149" r:id="rId10"/>
    <sheet name="固定資産データ" sheetId="151" r:id="rId11"/>
  </sheets>
  <definedNames>
    <definedName name="_xlnm._FilterDatabase" localSheetId="6" hidden="1">最終処分場!#REF!</definedName>
    <definedName name="_xlnm._FilterDatabase" localSheetId="5" hidden="1">焼却施設!#REF!</definedName>
    <definedName name="_Key1" localSheetId="1" hidden="1">#REF!</definedName>
    <definedName name="_Key1" localSheetId="4" hidden="1">#REF!</definedName>
    <definedName name="_Key1" localSheetId="3" hidden="1">#REF!</definedName>
    <definedName name="_Key1" localSheetId="6" hidden="1">#REF!</definedName>
    <definedName name="_Key1" localSheetId="7" hidden="1">#REF!</definedName>
    <definedName name="_Key1" localSheetId="5" hidden="1">#REF!</definedName>
    <definedName name="_Key1" localSheetId="2" hidden="1">#REF!</definedName>
    <definedName name="_Key1" hidden="1">#REF!</definedName>
    <definedName name="_Order1" hidden="1">255</definedName>
    <definedName name="_Sort" localSheetId="1" hidden="1">#REF!</definedName>
    <definedName name="_Sort" localSheetId="4" hidden="1">#REF!</definedName>
    <definedName name="_Sort" localSheetId="3" hidden="1">#REF!</definedName>
    <definedName name="_Sort" localSheetId="6" hidden="1">#REF!</definedName>
    <definedName name="_Sort" localSheetId="7" hidden="1">#REF!</definedName>
    <definedName name="_Sort" localSheetId="5" hidden="1">#REF!</definedName>
    <definedName name="_Sort" localSheetId="2" hidden="1">#REF!</definedName>
    <definedName name="_Sort" hidden="1">#REF!</definedName>
    <definedName name="_xlnm.Print_Area" localSheetId="1">'し尿、仮設トイレ、避難所ごみ'!$A$1:$C$26</definedName>
    <definedName name="_xlnm.Print_Area" localSheetId="7">'処理フロー(計算)'!#REF!</definedName>
    <definedName name="_xlnm.Print_Area" localSheetId="0">入力用シート!$A$1:$G$42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8" i="127" l="1"/>
  <c r="F38" i="127"/>
  <c r="E22" i="127" l="1"/>
  <c r="E21" i="127"/>
  <c r="D41" i="127" l="1"/>
  <c r="E41" i="127" s="1"/>
  <c r="C18" i="120" l="1"/>
  <c r="H37" i="127" l="1"/>
  <c r="F37" i="127"/>
  <c r="E17" i="127"/>
  <c r="D18" i="120" l="1"/>
  <c r="E18" i="127" l="1"/>
  <c r="C37" i="127" l="1"/>
  <c r="G47" i="127"/>
  <c r="G46" i="127"/>
  <c r="D25" i="142"/>
  <c r="E25" i="142" s="1"/>
  <c r="D24" i="142"/>
  <c r="E24" i="142" s="1"/>
  <c r="D23" i="142"/>
  <c r="E23" i="142" s="1"/>
  <c r="D22" i="142"/>
  <c r="E22" i="142" s="1"/>
  <c r="D16" i="142"/>
  <c r="B2" i="149" l="1"/>
  <c r="B1" i="149"/>
  <c r="B2" i="146"/>
  <c r="B1" i="146"/>
  <c r="D35" i="149"/>
  <c r="D13" i="149"/>
  <c r="D8" i="149"/>
  <c r="D36" i="146"/>
  <c r="D13" i="146"/>
  <c r="D8" i="146"/>
  <c r="D19" i="142" l="1"/>
  <c r="D18" i="142"/>
  <c r="D17" i="142"/>
  <c r="B5" i="143"/>
  <c r="F21" i="139"/>
  <c r="G26" i="139" l="1"/>
  <c r="G31" i="139"/>
  <c r="G29" i="139"/>
  <c r="G27" i="139"/>
  <c r="G30" i="139"/>
  <c r="G25" i="139"/>
  <c r="G24" i="139"/>
  <c r="F22" i="139"/>
  <c r="G21" i="139"/>
  <c r="F19" i="138"/>
  <c r="B85" i="127"/>
  <c r="A12" i="143" s="1"/>
  <c r="B30" i="132"/>
  <c r="B32" i="132" s="1"/>
  <c r="B29" i="132"/>
  <c r="B21" i="132"/>
  <c r="B19" i="132"/>
  <c r="B18" i="132"/>
  <c r="B20" i="132" s="1"/>
  <c r="B22" i="132" l="1"/>
  <c r="B23" i="132"/>
  <c r="B26" i="132"/>
  <c r="F23" i="138"/>
  <c r="F29" i="138"/>
  <c r="F28" i="138"/>
  <c r="F24" i="138"/>
  <c r="B24" i="132"/>
  <c r="B25" i="132" s="1"/>
  <c r="G22" i="139"/>
  <c r="G32" i="139" s="1"/>
  <c r="D25" i="143"/>
  <c r="D24" i="143"/>
  <c r="B30" i="146"/>
  <c r="B30" i="149"/>
  <c r="B27" i="120"/>
  <c r="D27" i="120" s="1"/>
  <c r="F20" i="138"/>
  <c r="D64" i="127"/>
  <c r="E74" i="127" s="1"/>
  <c r="F26" i="138" l="1"/>
  <c r="F25" i="138" s="1"/>
  <c r="F21" i="138"/>
  <c r="F31" i="138" s="1"/>
  <c r="F30" i="138" s="1"/>
  <c r="E24" i="143"/>
  <c r="E25" i="143"/>
  <c r="B25" i="143"/>
  <c r="D49" i="127"/>
  <c r="E49" i="127" s="1"/>
  <c r="D48" i="127"/>
  <c r="E48" i="127" s="1"/>
  <c r="D47" i="127"/>
  <c r="E47" i="127" s="1"/>
  <c r="D46" i="127"/>
  <c r="E46" i="127" s="1"/>
  <c r="D43" i="127"/>
  <c r="E43" i="127" s="1"/>
  <c r="D42" i="127"/>
  <c r="E42" i="127" s="1"/>
  <c r="D40" i="127"/>
  <c r="E40" i="127" s="1"/>
  <c r="E19" i="142"/>
  <c r="E18" i="142"/>
  <c r="E16" i="142"/>
  <c r="E17" i="142"/>
  <c r="D28" i="142" s="1"/>
  <c r="B36" i="132"/>
  <c r="B37" i="132"/>
  <c r="B31" i="132"/>
  <c r="B33" i="132" s="1"/>
  <c r="B36" i="143"/>
  <c r="D52" i="127" l="1"/>
  <c r="D68" i="127" s="1"/>
  <c r="C3" i="149"/>
  <c r="C3" i="146"/>
  <c r="B38" i="132"/>
  <c r="D26" i="143"/>
  <c r="C19" i="139"/>
  <c r="B33" i="143"/>
  <c r="B26" i="143"/>
  <c r="C30" i="120" l="1"/>
  <c r="F30" i="120" s="1"/>
  <c r="G30" i="120" s="1"/>
  <c r="B16" i="143"/>
  <c r="B32" i="143"/>
  <c r="C32" i="143"/>
  <c r="B34" i="143" s="1"/>
  <c r="A1" i="143"/>
  <c r="D72" i="127" l="1"/>
  <c r="G71" i="127"/>
  <c r="F70" i="127"/>
  <c r="E68" i="127"/>
  <c r="D71" i="127"/>
  <c r="G70" i="127"/>
  <c r="F69" i="127"/>
  <c r="E72" i="127"/>
  <c r="D70" i="127"/>
  <c r="G69" i="127"/>
  <c r="F68" i="127"/>
  <c r="F74" i="127"/>
  <c r="E71" i="127"/>
  <c r="D69" i="127"/>
  <c r="G68" i="127"/>
  <c r="E73" i="127"/>
  <c r="F73" i="127"/>
  <c r="G74" i="127"/>
  <c r="G73" i="127"/>
  <c r="F72" i="127"/>
  <c r="E70" i="127"/>
  <c r="G72" i="127"/>
  <c r="F71" i="127"/>
  <c r="E69" i="127"/>
  <c r="D85" i="127" l="1"/>
  <c r="C27" i="120" s="1"/>
  <c r="E27" i="120" s="1"/>
  <c r="F27" i="120" s="1"/>
  <c r="D82" i="127"/>
  <c r="B8" i="143" s="1"/>
  <c r="D79" i="127"/>
  <c r="D81" i="127"/>
  <c r="B7" i="143" s="1"/>
  <c r="D80" i="127"/>
  <c r="D84" i="127"/>
  <c r="C26" i="120" s="1"/>
  <c r="D83" i="127"/>
  <c r="C25" i="120" s="1"/>
  <c r="F84" i="127" l="1"/>
  <c r="B10" i="143"/>
  <c r="C21" i="120"/>
  <c r="C24" i="120"/>
  <c r="G75" i="127"/>
  <c r="B12" i="143"/>
  <c r="B31" i="149" s="1"/>
  <c r="G31" i="149" s="1"/>
  <c r="I31" i="149" s="1"/>
  <c r="E75" i="127"/>
  <c r="D75" i="127"/>
  <c r="F75" i="127"/>
  <c r="B6" i="143"/>
  <c r="B14" i="143" s="1"/>
  <c r="C22" i="120"/>
  <c r="B11" i="143"/>
  <c r="B9" i="143"/>
  <c r="C23" i="120"/>
  <c r="G27" i="120"/>
  <c r="E21" i="120" l="1"/>
  <c r="F21" i="120" s="1"/>
  <c r="B31" i="146"/>
  <c r="G31" i="146" s="1"/>
  <c r="I31" i="146" s="1"/>
  <c r="E23" i="120"/>
  <c r="F23" i="120" s="1"/>
  <c r="E25" i="120"/>
  <c r="B19" i="143" l="1"/>
  <c r="B49" i="143" s="1"/>
  <c r="B42" i="146" l="1"/>
  <c r="D42" i="146" s="1"/>
  <c r="B41" i="149"/>
  <c r="D41" i="149" s="1"/>
  <c r="B28" i="146"/>
  <c r="I28" i="146" s="1"/>
  <c r="B28" i="149"/>
  <c r="I28" i="149" s="1"/>
  <c r="C28" i="143"/>
  <c r="E15" i="146" l="1"/>
  <c r="C24" i="143"/>
  <c r="B18" i="143" l="1"/>
  <c r="B48" i="143" s="1"/>
  <c r="C48" i="143" s="1"/>
  <c r="C25" i="143"/>
  <c r="B29" i="143" s="1"/>
  <c r="E10" i="149" s="1"/>
  <c r="G23" i="120"/>
  <c r="B19" i="146"/>
  <c r="G19" i="146" s="1"/>
  <c r="I19" i="146" s="1"/>
  <c r="B19" i="149"/>
  <c r="G19" i="149" s="1"/>
  <c r="I19" i="149" s="1"/>
  <c r="B16" i="146"/>
  <c r="B16" i="149"/>
  <c r="B22" i="146"/>
  <c r="G22" i="146" s="1"/>
  <c r="I22" i="146" s="1"/>
  <c r="B22" i="149"/>
  <c r="G22" i="149" s="1"/>
  <c r="I22" i="149" s="1"/>
  <c r="B25" i="146"/>
  <c r="I25" i="146" s="1"/>
  <c r="B25" i="149"/>
  <c r="I25" i="149" s="1"/>
  <c r="B11" i="146"/>
  <c r="B11" i="149"/>
  <c r="B24" i="143"/>
  <c r="B28" i="143" s="1"/>
  <c r="B43" i="143"/>
  <c r="C43" i="143" s="1"/>
  <c r="B41" i="143"/>
  <c r="C28" i="120"/>
  <c r="C41" i="143" l="1"/>
  <c r="C42" i="143" s="1"/>
  <c r="E41" i="143"/>
  <c r="F41" i="143" s="1"/>
  <c r="E38" i="149"/>
  <c r="B39" i="146"/>
  <c r="E39" i="146"/>
  <c r="B38" i="149"/>
  <c r="E16" i="146"/>
  <c r="C29" i="143"/>
  <c r="E43" i="143" s="1"/>
  <c r="E28" i="120"/>
  <c r="D43" i="143"/>
  <c r="E10" i="146"/>
  <c r="B13" i="143"/>
  <c r="F28" i="120"/>
  <c r="D41" i="143" l="1"/>
  <c r="D42" i="143" s="1"/>
  <c r="F42" i="143"/>
  <c r="E42" i="143"/>
  <c r="E38" i="146"/>
  <c r="E37" i="149"/>
  <c r="D48" i="143"/>
  <c r="E11" i="146"/>
  <c r="E11" i="149"/>
  <c r="G16" i="146"/>
  <c r="G21" i="120"/>
  <c r="G28" i="120" s="1"/>
  <c r="B8" i="146" l="1"/>
  <c r="B8" i="149"/>
  <c r="G11" i="149"/>
  <c r="G39" i="146"/>
  <c r="G38" i="149"/>
  <c r="E15" i="149"/>
  <c r="F43" i="143"/>
  <c r="G16" i="149" s="1"/>
  <c r="G11" i="146" l="1"/>
  <c r="E16" i="149"/>
</calcChain>
</file>

<file path=xl/sharedStrings.xml><?xml version="1.0" encoding="utf-8"?>
<sst xmlns="http://schemas.openxmlformats.org/spreadsheetml/2006/main" count="832" uniqueCount="560">
  <si>
    <t>コンクリートがら</t>
    <phoneticPr fontId="4"/>
  </si>
  <si>
    <t>可燃物</t>
    <rPh sb="0" eb="3">
      <t>カネンブツ</t>
    </rPh>
    <phoneticPr fontId="4"/>
  </si>
  <si>
    <t>不燃物</t>
    <rPh sb="0" eb="3">
      <t>フネンブツ</t>
    </rPh>
    <phoneticPr fontId="4"/>
  </si>
  <si>
    <t>柱角材</t>
    <phoneticPr fontId="4"/>
  </si>
  <si>
    <t>コンクリートがら</t>
  </si>
  <si>
    <t>柱角材</t>
  </si>
  <si>
    <t>合計</t>
    <rPh sb="0" eb="2">
      <t>ゴウケイ</t>
    </rPh>
    <phoneticPr fontId="2"/>
  </si>
  <si>
    <t>可燃物</t>
  </si>
  <si>
    <t>不燃物</t>
  </si>
  <si>
    <t>t/m3</t>
    <phoneticPr fontId="4"/>
  </si>
  <si>
    <t>作業スペース割合</t>
    <rPh sb="0" eb="2">
      <t>サギョウ</t>
    </rPh>
    <rPh sb="6" eb="8">
      <t>ワリアイ</t>
    </rPh>
    <phoneticPr fontId="4"/>
  </si>
  <si>
    <t>算出条件</t>
    <rPh sb="0" eb="2">
      <t>サンシュツ</t>
    </rPh>
    <rPh sb="2" eb="4">
      <t>ジョウケン</t>
    </rPh>
    <phoneticPr fontId="4"/>
  </si>
  <si>
    <t>シナリオ設定</t>
    <rPh sb="4" eb="6">
      <t>セッテイ</t>
    </rPh>
    <phoneticPr fontId="4"/>
  </si>
  <si>
    <t>低位</t>
    <rPh sb="0" eb="2">
      <t>テイイ</t>
    </rPh>
    <phoneticPr fontId="4"/>
  </si>
  <si>
    <t>中位</t>
    <rPh sb="0" eb="2">
      <t>チュウイ</t>
    </rPh>
    <phoneticPr fontId="4"/>
  </si>
  <si>
    <t>高位</t>
    <rPh sb="0" eb="2">
      <t>コウイ</t>
    </rPh>
    <phoneticPr fontId="4"/>
  </si>
  <si>
    <t>公称能力最大</t>
    <rPh sb="4" eb="6">
      <t>サイダイ</t>
    </rPh>
    <phoneticPr fontId="4"/>
  </si>
  <si>
    <t>公称能力フル稼働</t>
    <rPh sb="0" eb="2">
      <t>コウショウ</t>
    </rPh>
    <rPh sb="2" eb="4">
      <t>ノウリョク</t>
    </rPh>
    <rPh sb="6" eb="8">
      <t>カドウ</t>
    </rPh>
    <phoneticPr fontId="4"/>
  </si>
  <si>
    <t>覆土量考慮</t>
    <rPh sb="0" eb="2">
      <t>フクド</t>
    </rPh>
    <rPh sb="2" eb="3">
      <t>リョウ</t>
    </rPh>
    <rPh sb="3" eb="5">
      <t>コウリョ</t>
    </rPh>
    <phoneticPr fontId="4"/>
  </si>
  <si>
    <t>合計</t>
  </si>
  <si>
    <t>避難者数（人）</t>
    <phoneticPr fontId="4"/>
  </si>
  <si>
    <t>避難所ごみ発生量（t/日）</t>
  </si>
  <si>
    <t>し尿発生原単位他</t>
    <rPh sb="1" eb="2">
      <t>ニョウ</t>
    </rPh>
    <rPh sb="2" eb="4">
      <t>ハッセイ</t>
    </rPh>
    <rPh sb="4" eb="7">
      <t>ゲンタンイ</t>
    </rPh>
    <rPh sb="7" eb="8">
      <t>ホカ</t>
    </rPh>
    <phoneticPr fontId="4"/>
  </si>
  <si>
    <t>し尿排出量（L/人・日）</t>
    <rPh sb="1" eb="2">
      <t>ニョウ</t>
    </rPh>
    <rPh sb="2" eb="4">
      <t>ハイシュツ</t>
    </rPh>
    <rPh sb="4" eb="5">
      <t>リョウ</t>
    </rPh>
    <phoneticPr fontId="4"/>
  </si>
  <si>
    <t>し尿収集間隔日数（日）</t>
    <rPh sb="1" eb="2">
      <t>ニョウ</t>
    </rPh>
    <rPh sb="2" eb="4">
      <t>シュウシュウ</t>
    </rPh>
    <rPh sb="4" eb="6">
      <t>カンカク</t>
    </rPh>
    <rPh sb="6" eb="8">
      <t>ニッスウ</t>
    </rPh>
    <phoneticPr fontId="4"/>
  </si>
  <si>
    <t>仮設トイレの平均的容量（L）</t>
    <rPh sb="0" eb="2">
      <t>カセツ</t>
    </rPh>
    <rPh sb="6" eb="9">
      <t>ヘイキンテキ</t>
    </rPh>
    <rPh sb="9" eb="11">
      <t>ヨウリョウ</t>
    </rPh>
    <phoneticPr fontId="4"/>
  </si>
  <si>
    <t>1人1日当たりのごみ
総排出量（g/人・日）</t>
    <rPh sb="1" eb="2">
      <t>ヒト</t>
    </rPh>
    <rPh sb="3" eb="4">
      <t>ニチ</t>
    </rPh>
    <rPh sb="4" eb="5">
      <t>ア</t>
    </rPh>
    <rPh sb="11" eb="12">
      <t>ソウ</t>
    </rPh>
    <rPh sb="12" eb="15">
      <t>ハイシュツリョウ</t>
    </rPh>
    <rPh sb="18" eb="19">
      <t>ヒト</t>
    </rPh>
    <rPh sb="20" eb="21">
      <t>ニチ</t>
    </rPh>
    <phoneticPr fontId="2"/>
  </si>
  <si>
    <t>稼働年数（年）</t>
    <rPh sb="0" eb="2">
      <t>カドウ</t>
    </rPh>
    <rPh sb="2" eb="4">
      <t>ネンスウ</t>
    </rPh>
    <rPh sb="5" eb="6">
      <t>ネン</t>
    </rPh>
    <phoneticPr fontId="4"/>
  </si>
  <si>
    <t>確保年数（年）</t>
    <rPh sb="0" eb="2">
      <t>カクホ</t>
    </rPh>
    <rPh sb="2" eb="4">
      <t>ネンスウ</t>
    </rPh>
    <rPh sb="5" eb="6">
      <t>ネン</t>
    </rPh>
    <phoneticPr fontId="4"/>
  </si>
  <si>
    <t>残余年数（年）</t>
    <rPh sb="0" eb="2">
      <t>ザンヨ</t>
    </rPh>
    <rPh sb="2" eb="4">
      <t>ネンスウ</t>
    </rPh>
    <rPh sb="5" eb="6">
      <t>ネン</t>
    </rPh>
    <phoneticPr fontId="4"/>
  </si>
  <si>
    <t>津波堆積物</t>
    <rPh sb="0" eb="4">
      <t>ツナミタイセキ</t>
    </rPh>
    <rPh sb="4" eb="5">
      <t>ブツ</t>
    </rPh>
    <phoneticPr fontId="2"/>
  </si>
  <si>
    <t>自治体名</t>
    <rPh sb="0" eb="3">
      <t>ジチタイ</t>
    </rPh>
    <rPh sb="3" eb="4">
      <t>メイ</t>
    </rPh>
    <phoneticPr fontId="2"/>
  </si>
  <si>
    <t>算定対象とする災害</t>
    <rPh sb="0" eb="2">
      <t>サンテイ</t>
    </rPh>
    <rPh sb="2" eb="4">
      <t>タイショウ</t>
    </rPh>
    <rPh sb="7" eb="9">
      <t>サイガイ</t>
    </rPh>
    <phoneticPr fontId="2"/>
  </si>
  <si>
    <t>避難者数</t>
    <rPh sb="0" eb="3">
      <t>ヒナンシャ</t>
    </rPh>
    <rPh sb="3" eb="4">
      <t>スウ</t>
    </rPh>
    <phoneticPr fontId="2"/>
  </si>
  <si>
    <t>1人1日当たりのごみ総排出量</t>
    <rPh sb="1" eb="2">
      <t>ニン</t>
    </rPh>
    <rPh sb="3" eb="4">
      <t>ニチ</t>
    </rPh>
    <rPh sb="4" eb="5">
      <t>ア</t>
    </rPh>
    <rPh sb="10" eb="11">
      <t>ソウ</t>
    </rPh>
    <rPh sb="11" eb="13">
      <t>ハイシュツ</t>
    </rPh>
    <rPh sb="13" eb="14">
      <t>リョウ</t>
    </rPh>
    <phoneticPr fontId="2"/>
  </si>
  <si>
    <t>全壊棟数</t>
  </si>
  <si>
    <t>半壊棟数</t>
  </si>
  <si>
    <t>床上浸水</t>
  </si>
  <si>
    <t>床下浸水</t>
  </si>
  <si>
    <t>津波浸水面積</t>
  </si>
  <si>
    <t>施設名称</t>
  </si>
  <si>
    <t>施設名称</t>
    <rPh sb="0" eb="2">
      <t>シセツ</t>
    </rPh>
    <rPh sb="2" eb="4">
      <t>メイショウ</t>
    </rPh>
    <phoneticPr fontId="2"/>
  </si>
  <si>
    <t>処理能力</t>
    <phoneticPr fontId="2"/>
  </si>
  <si>
    <t>年間処理量（実績）</t>
    <rPh sb="5" eb="7">
      <t>ジッセキ</t>
    </rPh>
    <phoneticPr fontId="29"/>
  </si>
  <si>
    <t>日/年</t>
    <rPh sb="0" eb="1">
      <t>ニチ</t>
    </rPh>
    <rPh sb="2" eb="3">
      <t>ネン</t>
    </rPh>
    <phoneticPr fontId="2"/>
  </si>
  <si>
    <t>t/年度</t>
    <phoneticPr fontId="2"/>
  </si>
  <si>
    <t>t/日</t>
    <phoneticPr fontId="2"/>
  </si>
  <si>
    <t>焼却施設</t>
    <rPh sb="0" eb="2">
      <t>ショウキャク</t>
    </rPh>
    <rPh sb="2" eb="4">
      <t>シセツ</t>
    </rPh>
    <phoneticPr fontId="2"/>
  </si>
  <si>
    <t>残余容量</t>
    <phoneticPr fontId="2"/>
  </si>
  <si>
    <t>m3</t>
    <phoneticPr fontId="2"/>
  </si>
  <si>
    <t>t/年度</t>
    <phoneticPr fontId="2"/>
  </si>
  <si>
    <t>m3/年度</t>
    <phoneticPr fontId="2"/>
  </si>
  <si>
    <t>棟</t>
    <rPh sb="0" eb="1">
      <t>トウ</t>
    </rPh>
    <phoneticPr fontId="2"/>
  </si>
  <si>
    <t>m2</t>
    <phoneticPr fontId="2"/>
  </si>
  <si>
    <t>g/人･日</t>
    <rPh sb="2" eb="3">
      <t>ニン</t>
    </rPh>
    <rPh sb="4" eb="5">
      <t>ニチ</t>
    </rPh>
    <phoneticPr fontId="2"/>
  </si>
  <si>
    <t>人</t>
    <rPh sb="0" eb="1">
      <t>ニン</t>
    </rPh>
    <phoneticPr fontId="2"/>
  </si>
  <si>
    <t>最終処分場</t>
    <rPh sb="0" eb="5">
      <t>サイシュウショブンジョウ</t>
    </rPh>
    <phoneticPr fontId="2"/>
  </si>
  <si>
    <t>単位</t>
    <rPh sb="0" eb="2">
      <t>タンイ</t>
    </rPh>
    <phoneticPr fontId="2"/>
  </si>
  <si>
    <t>備考</t>
    <rPh sb="0" eb="2">
      <t>ビコウ</t>
    </rPh>
    <phoneticPr fontId="2"/>
  </si>
  <si>
    <t>数量</t>
    <rPh sb="0" eb="2">
      <t>スウリョウ</t>
    </rPh>
    <phoneticPr fontId="2"/>
  </si>
  <si>
    <t>項目</t>
    <rPh sb="0" eb="2">
      <t>コウモク</t>
    </rPh>
    <phoneticPr fontId="2"/>
  </si>
  <si>
    <t>仮設トイレ必要基数（基)</t>
    <rPh sb="0" eb="2">
      <t>カセツ</t>
    </rPh>
    <rPh sb="5" eb="9">
      <t>ヒツヨウキスウ</t>
    </rPh>
    <rPh sb="10" eb="11">
      <t>キ</t>
    </rPh>
    <phoneticPr fontId="4"/>
  </si>
  <si>
    <t>避難所ごみ発生量</t>
    <phoneticPr fontId="4"/>
  </si>
  <si>
    <t>項目</t>
    <rPh sb="0" eb="2">
      <t>コウモク</t>
    </rPh>
    <phoneticPr fontId="4"/>
  </si>
  <si>
    <t>■仮置場面積算定</t>
    <rPh sb="1" eb="2">
      <t>カリ</t>
    </rPh>
    <rPh sb="2" eb="3">
      <t>オ</t>
    </rPh>
    <rPh sb="3" eb="4">
      <t>バ</t>
    </rPh>
    <rPh sb="4" eb="6">
      <t>メンセキ</t>
    </rPh>
    <rPh sb="6" eb="8">
      <t>サンテイ</t>
    </rPh>
    <phoneticPr fontId="2"/>
  </si>
  <si>
    <t>種類別発生量(t)</t>
    <rPh sb="0" eb="2">
      <t>シュルイ</t>
    </rPh>
    <rPh sb="2" eb="3">
      <t>ベツ</t>
    </rPh>
    <rPh sb="3" eb="5">
      <t>ハッセイ</t>
    </rPh>
    <rPh sb="5" eb="6">
      <t>リョウ</t>
    </rPh>
    <phoneticPr fontId="4"/>
  </si>
  <si>
    <r>
      <t>仮置場必要面積(m</t>
    </r>
    <r>
      <rPr>
        <vertAlign val="superscript"/>
        <sz val="11"/>
        <color theme="1"/>
        <rFont val="HGPｺﾞｼｯｸM"/>
        <family val="3"/>
        <charset val="128"/>
      </rPr>
      <t>2</t>
    </r>
    <r>
      <rPr>
        <sz val="11"/>
        <color theme="1"/>
        <rFont val="HGPｺﾞｼｯｸM"/>
        <family val="3"/>
        <charset val="128"/>
      </rPr>
      <t>)</t>
    </r>
    <rPh sb="0" eb="2">
      <t>カリオ</t>
    </rPh>
    <rPh sb="2" eb="3">
      <t>バ</t>
    </rPh>
    <rPh sb="3" eb="5">
      <t>ヒツヨウ</t>
    </rPh>
    <rPh sb="5" eb="7">
      <t>メンセキ</t>
    </rPh>
    <phoneticPr fontId="4"/>
  </si>
  <si>
    <t>■焼却施設処理可能量算定</t>
    <rPh sb="1" eb="3">
      <t>ショウキャク</t>
    </rPh>
    <rPh sb="3" eb="5">
      <t>シセツ</t>
    </rPh>
    <rPh sb="5" eb="7">
      <t>ショリ</t>
    </rPh>
    <rPh sb="7" eb="10">
      <t>カノウリョウ</t>
    </rPh>
    <rPh sb="10" eb="12">
      <t>サンテイ</t>
    </rPh>
    <phoneticPr fontId="2"/>
  </si>
  <si>
    <t>年間処理能力(t/年)</t>
    <rPh sb="0" eb="2">
      <t>ネンカン</t>
    </rPh>
    <rPh sb="2" eb="4">
      <t>ショリ</t>
    </rPh>
    <rPh sb="4" eb="6">
      <t>ノウリョク</t>
    </rPh>
    <phoneticPr fontId="29"/>
  </si>
  <si>
    <t>年間処理能力-実績(t/年)</t>
    <rPh sb="0" eb="2">
      <t>ネンカン</t>
    </rPh>
    <rPh sb="2" eb="4">
      <t>ショリ</t>
    </rPh>
    <rPh sb="4" eb="6">
      <t>ノウリョク</t>
    </rPh>
    <rPh sb="7" eb="9">
      <t>ジッセキ</t>
    </rPh>
    <phoneticPr fontId="29"/>
  </si>
  <si>
    <t>年度</t>
    <rPh sb="0" eb="2">
      <t>ネンド</t>
    </rPh>
    <phoneticPr fontId="2"/>
  </si>
  <si>
    <r>
      <t>単位体積重量（t/m</t>
    </r>
    <r>
      <rPr>
        <vertAlign val="superscript"/>
        <sz val="11"/>
        <rFont val="HGPｺﾞｼｯｸM"/>
        <family val="3"/>
        <charset val="128"/>
      </rPr>
      <t>3</t>
    </r>
    <r>
      <rPr>
        <sz val="11"/>
        <rFont val="HGPｺﾞｼｯｸM"/>
        <family val="3"/>
        <charset val="128"/>
      </rPr>
      <t>）</t>
    </r>
    <rPh sb="0" eb="2">
      <t>タンイ</t>
    </rPh>
    <rPh sb="2" eb="4">
      <t>タイセキ</t>
    </rPh>
    <rPh sb="4" eb="6">
      <t>ジュウリョウ</t>
    </rPh>
    <phoneticPr fontId="4"/>
  </si>
  <si>
    <t>残余容量-10年分埋立量</t>
    <phoneticPr fontId="4"/>
  </si>
  <si>
    <t>■入力用シート</t>
    <rPh sb="1" eb="4">
      <t>ニュウリョクヨウ</t>
    </rPh>
    <phoneticPr fontId="2"/>
  </si>
  <si>
    <t>水害</t>
    <rPh sb="0" eb="2">
      <t>スイガイ</t>
    </rPh>
    <phoneticPr fontId="2"/>
  </si>
  <si>
    <t>総人口</t>
    <rPh sb="0" eb="3">
      <t>ソウジンコウ</t>
    </rPh>
    <phoneticPr fontId="2"/>
  </si>
  <si>
    <t>水洗化人口</t>
    <rPh sb="0" eb="3">
      <t>スイセンカ</t>
    </rPh>
    <rPh sb="3" eb="5">
      <t>ジンコウ</t>
    </rPh>
    <phoneticPr fontId="2"/>
  </si>
  <si>
    <t>人</t>
    <rPh sb="0" eb="1">
      <t>ニン</t>
    </rPh>
    <phoneticPr fontId="2"/>
  </si>
  <si>
    <t>断水世帯数</t>
    <rPh sb="0" eb="2">
      <t>ダンスイ</t>
    </rPh>
    <rPh sb="2" eb="5">
      <t>セタイスウ</t>
    </rPh>
    <phoneticPr fontId="2"/>
  </si>
  <si>
    <t>世帯</t>
    <rPh sb="0" eb="2">
      <t>セタイ</t>
    </rPh>
    <phoneticPr fontId="2"/>
  </si>
  <si>
    <t>総世帯数</t>
    <rPh sb="0" eb="1">
      <t>ソウ</t>
    </rPh>
    <rPh sb="1" eb="4">
      <t>セタイスウ</t>
    </rPh>
    <phoneticPr fontId="2"/>
  </si>
  <si>
    <t>汲取人口</t>
    <rPh sb="0" eb="2">
      <t>クミト</t>
    </rPh>
    <rPh sb="2" eb="4">
      <t>ジンコウ</t>
    </rPh>
    <phoneticPr fontId="2"/>
  </si>
  <si>
    <t>自治体の総人口</t>
    <rPh sb="0" eb="3">
      <t>ジチタイ</t>
    </rPh>
    <rPh sb="4" eb="7">
      <t>ソウジンコウ</t>
    </rPh>
    <phoneticPr fontId="2"/>
  </si>
  <si>
    <t>自治体の総世帯数</t>
    <rPh sb="0" eb="3">
      <t>ジチタイ</t>
    </rPh>
    <rPh sb="4" eb="5">
      <t>ソウ</t>
    </rPh>
    <rPh sb="5" eb="8">
      <t>セタイスウ</t>
    </rPh>
    <phoneticPr fontId="2"/>
  </si>
  <si>
    <t>平常時に水洗トイレを使用する住民数
※下水道・コミュニティプラント・農業集落排水・合併浄化槽</t>
    <rPh sb="0" eb="2">
      <t>ヘイジョウ</t>
    </rPh>
    <rPh sb="2" eb="3">
      <t>ジ</t>
    </rPh>
    <rPh sb="4" eb="6">
      <t>スイセン</t>
    </rPh>
    <rPh sb="10" eb="12">
      <t>シヨウ</t>
    </rPh>
    <rPh sb="14" eb="16">
      <t>ジュウミン</t>
    </rPh>
    <rPh sb="16" eb="17">
      <t>スウ</t>
    </rPh>
    <rPh sb="19" eb="22">
      <t>ゲスイドウ</t>
    </rPh>
    <rPh sb="34" eb="36">
      <t>ノウギョウ</t>
    </rPh>
    <rPh sb="36" eb="38">
      <t>シュウラク</t>
    </rPh>
    <rPh sb="38" eb="40">
      <t>ハイスイ</t>
    </rPh>
    <rPh sb="41" eb="43">
      <t>ガッペイ</t>
    </rPh>
    <rPh sb="43" eb="46">
      <t>ジョウカソウ</t>
    </rPh>
    <phoneticPr fontId="2"/>
  </si>
  <si>
    <t>汲取便槽使用人口</t>
    <rPh sb="0" eb="2">
      <t>クミト</t>
    </rPh>
    <rPh sb="2" eb="4">
      <t>ベンソウ</t>
    </rPh>
    <rPh sb="4" eb="6">
      <t>シヨウ</t>
    </rPh>
    <rPh sb="6" eb="8">
      <t>ジンコウ</t>
    </rPh>
    <phoneticPr fontId="2"/>
  </si>
  <si>
    <t>■し尿必要収集量及び仮設トイレ必要基数算定</t>
    <rPh sb="2" eb="3">
      <t>ニョウ</t>
    </rPh>
    <rPh sb="3" eb="5">
      <t>ヒツヨウ</t>
    </rPh>
    <rPh sb="5" eb="7">
      <t>シュウシュウ</t>
    </rPh>
    <rPh sb="7" eb="8">
      <t>リョウ</t>
    </rPh>
    <rPh sb="8" eb="9">
      <t>オヨ</t>
    </rPh>
    <rPh sb="10" eb="12">
      <t>カセツ</t>
    </rPh>
    <rPh sb="15" eb="17">
      <t>ヒツヨウ</t>
    </rPh>
    <rPh sb="17" eb="18">
      <t>キ</t>
    </rPh>
    <rPh sb="18" eb="19">
      <t>スウ</t>
    </rPh>
    <rPh sb="19" eb="21">
      <t>サンテイ</t>
    </rPh>
    <phoneticPr fontId="2"/>
  </si>
  <si>
    <t>し尿必要収集量及び仮設トイレ必要基数</t>
    <rPh sb="1" eb="2">
      <t>ニョウ</t>
    </rPh>
    <rPh sb="2" eb="4">
      <t>ヒツヨウ</t>
    </rPh>
    <rPh sb="4" eb="6">
      <t>シュウシュウ</t>
    </rPh>
    <rPh sb="6" eb="7">
      <t>リョウ</t>
    </rPh>
    <rPh sb="7" eb="8">
      <t>オヨ</t>
    </rPh>
    <rPh sb="9" eb="11">
      <t>カセツ</t>
    </rPh>
    <rPh sb="14" eb="16">
      <t>ヒツヨウ</t>
    </rPh>
    <rPh sb="16" eb="18">
      <t>キスウ</t>
    </rPh>
    <phoneticPr fontId="4"/>
  </si>
  <si>
    <t>上水道支障率(%)</t>
    <rPh sb="0" eb="3">
      <t>ジョウスイドウ</t>
    </rPh>
    <rPh sb="3" eb="5">
      <t>シショウ</t>
    </rPh>
    <rPh sb="5" eb="6">
      <t>リツ</t>
    </rPh>
    <phoneticPr fontId="4"/>
  </si>
  <si>
    <t>発災直後の断水世帯数</t>
    <rPh sb="0" eb="2">
      <t>ハッサイ</t>
    </rPh>
    <rPh sb="2" eb="4">
      <t>チョクゴ</t>
    </rPh>
    <rPh sb="5" eb="7">
      <t>ダンスイ</t>
    </rPh>
    <rPh sb="7" eb="10">
      <t>セタイスウ</t>
    </rPh>
    <phoneticPr fontId="2"/>
  </si>
  <si>
    <t>各自治体のごみ収集実績から設定する。</t>
    <rPh sb="0" eb="4">
      <t>カクジチタイ</t>
    </rPh>
    <rPh sb="7" eb="9">
      <t>シュウシュウ</t>
    </rPh>
    <rPh sb="9" eb="11">
      <t>ジッセキ</t>
    </rPh>
    <rPh sb="13" eb="15">
      <t>セッテイ</t>
    </rPh>
    <phoneticPr fontId="2"/>
  </si>
  <si>
    <t>非水洗化区域し尿収集人口</t>
    <rPh sb="0" eb="1">
      <t>ヒ</t>
    </rPh>
    <rPh sb="1" eb="4">
      <t>スイセンカ</t>
    </rPh>
    <rPh sb="4" eb="6">
      <t>クイキ</t>
    </rPh>
    <rPh sb="7" eb="8">
      <t>ニョウ</t>
    </rPh>
    <rPh sb="8" eb="10">
      <t>シュウシュウ</t>
    </rPh>
    <rPh sb="10" eb="12">
      <t>ジンコウ</t>
    </rPh>
    <phoneticPr fontId="2"/>
  </si>
  <si>
    <t>浸水</t>
    <rPh sb="0" eb="2">
      <t>シンスイ</t>
    </rPh>
    <phoneticPr fontId="4"/>
  </si>
  <si>
    <t>原単位</t>
    <rPh sb="0" eb="3">
      <t>ゲンタンイ</t>
    </rPh>
    <phoneticPr fontId="2"/>
  </si>
  <si>
    <t>金属くず</t>
    <phoneticPr fontId="2"/>
  </si>
  <si>
    <t>その他</t>
    <rPh sb="2" eb="3">
      <t>タ</t>
    </rPh>
    <phoneticPr fontId="2"/>
  </si>
  <si>
    <t>備考</t>
    <rPh sb="0" eb="2">
      <t>ビコウ</t>
    </rPh>
    <phoneticPr fontId="2"/>
  </si>
  <si>
    <t>処理能力（公称能力）に対する余裕分の割合（％）</t>
    <rPh sb="0" eb="2">
      <t>ショリ</t>
    </rPh>
    <rPh sb="2" eb="4">
      <t>ノウリョク</t>
    </rPh>
    <rPh sb="5" eb="7">
      <t>コウショウ</t>
    </rPh>
    <rPh sb="7" eb="9">
      <t>ノウリョク</t>
    </rPh>
    <rPh sb="11" eb="12">
      <t>タイ</t>
    </rPh>
    <rPh sb="14" eb="16">
      <t>ヨユウ</t>
    </rPh>
    <rPh sb="16" eb="17">
      <t>ブン</t>
    </rPh>
    <rPh sb="18" eb="20">
      <t>ワリアイ</t>
    </rPh>
    <phoneticPr fontId="4"/>
  </si>
  <si>
    <t>処理能力（公称能力）（t/日）</t>
    <rPh sb="0" eb="2">
      <t>ショリ</t>
    </rPh>
    <rPh sb="2" eb="4">
      <t>ノウリョク</t>
    </rPh>
    <rPh sb="13" eb="14">
      <t>ニチ</t>
    </rPh>
    <phoneticPr fontId="4"/>
  </si>
  <si>
    <t>その他</t>
    <rPh sb="2" eb="3">
      <t>タ</t>
    </rPh>
    <phoneticPr fontId="4"/>
  </si>
  <si>
    <t>土砂</t>
    <rPh sb="0" eb="2">
      <t>ドシャ</t>
    </rPh>
    <phoneticPr fontId="2"/>
  </si>
  <si>
    <t>金属くず</t>
    <phoneticPr fontId="4"/>
  </si>
  <si>
    <t>不燃物(その他含む)</t>
    <rPh sb="6" eb="7">
      <t>タ</t>
    </rPh>
    <rPh sb="7" eb="8">
      <t>フク</t>
    </rPh>
    <phoneticPr fontId="2"/>
  </si>
  <si>
    <t>自治体基礎情報</t>
    <rPh sb="0" eb="3">
      <t>ジチタイ</t>
    </rPh>
    <rPh sb="3" eb="5">
      <t>キソ</t>
    </rPh>
    <rPh sb="5" eb="7">
      <t>ジョウホウ</t>
    </rPh>
    <phoneticPr fontId="2"/>
  </si>
  <si>
    <t>想定
被害</t>
    <rPh sb="0" eb="2">
      <t>ソウテイ</t>
    </rPh>
    <rPh sb="3" eb="5">
      <t>ヒガイ</t>
    </rPh>
    <phoneticPr fontId="2"/>
  </si>
  <si>
    <t>最大避難者数</t>
    <rPh sb="0" eb="2">
      <t>サイダイ</t>
    </rPh>
    <rPh sb="2" eb="5">
      <t>ヒナンシャ</t>
    </rPh>
    <rPh sb="5" eb="6">
      <t>スウ</t>
    </rPh>
    <phoneticPr fontId="2"/>
  </si>
  <si>
    <t>シナリオ設定</t>
    <rPh sb="4" eb="6">
      <t>セッテイ</t>
    </rPh>
    <phoneticPr fontId="2"/>
  </si>
  <si>
    <t>【災害廃棄物処理可能量の定義】
 [処理可能量]＝[年間処理量（実績）]×[分担率]</t>
    <rPh sb="1" eb="3">
      <t>サイガイ</t>
    </rPh>
    <rPh sb="3" eb="6">
      <t>ハイキブツ</t>
    </rPh>
    <rPh sb="6" eb="8">
      <t>ショリ</t>
    </rPh>
    <rPh sb="8" eb="11">
      <t>カノウリョウ</t>
    </rPh>
    <rPh sb="12" eb="14">
      <t>テイギ</t>
    </rPh>
    <rPh sb="18" eb="20">
      <t>ショリ</t>
    </rPh>
    <rPh sb="20" eb="22">
      <t>カノウ</t>
    </rPh>
    <rPh sb="22" eb="23">
      <t>リョウ</t>
    </rPh>
    <rPh sb="26" eb="28">
      <t>ネンカン</t>
    </rPh>
    <rPh sb="28" eb="30">
      <t>ショリ</t>
    </rPh>
    <rPh sb="30" eb="31">
      <t>リョウ</t>
    </rPh>
    <rPh sb="32" eb="34">
      <t>ジッセキ</t>
    </rPh>
    <rPh sb="38" eb="40">
      <t>ブンタン</t>
    </rPh>
    <rPh sb="40" eb="41">
      <t>リツ</t>
    </rPh>
    <phoneticPr fontId="2"/>
  </si>
  <si>
    <t>【災害廃棄物処理可能量の定義】
 [埋立処分可能量]＝[年間埋立処分量（実績）]×[分担率]</t>
    <rPh sb="1" eb="3">
      <t>サイガイ</t>
    </rPh>
    <rPh sb="3" eb="6">
      <t>ハイキブツ</t>
    </rPh>
    <rPh sb="6" eb="8">
      <t>ショリ</t>
    </rPh>
    <rPh sb="8" eb="11">
      <t>カノウリョウ</t>
    </rPh>
    <rPh sb="12" eb="14">
      <t>テイギ</t>
    </rPh>
    <rPh sb="18" eb="20">
      <t>ウメタテ</t>
    </rPh>
    <rPh sb="20" eb="22">
      <t>ショブン</t>
    </rPh>
    <rPh sb="22" eb="24">
      <t>カノウ</t>
    </rPh>
    <rPh sb="24" eb="25">
      <t>リョウ</t>
    </rPh>
    <rPh sb="28" eb="30">
      <t>ネンカン</t>
    </rPh>
    <rPh sb="30" eb="31">
      <t>ウ</t>
    </rPh>
    <rPh sb="31" eb="32">
      <t>タ</t>
    </rPh>
    <rPh sb="32" eb="34">
      <t>ショブン</t>
    </rPh>
    <rPh sb="34" eb="35">
      <t>リョウ</t>
    </rPh>
    <rPh sb="36" eb="38">
      <t>ジッセキ</t>
    </rPh>
    <rPh sb="42" eb="44">
      <t>ブンタン</t>
    </rPh>
    <rPh sb="44" eb="45">
      <t>リツ</t>
    </rPh>
    <phoneticPr fontId="2"/>
  </si>
  <si>
    <t>【前提条件】
・既存の焼却処理施設において、現在の稼働状況に対する負荷を考慮して、シナリオを設定する。
・稼働年数、処理能力、余裕分の割合については、現時点である程度余裕がある施設を選定するための条件。
・各自治体の実情に合ったシナリオを採用してください。
　・低位シナリオ：現状の年間処理量の5%まで災害廃棄物を受け入れる。
　・中位シナリオ：現状の年間処理量の10%まで災害廃棄物を受け入れる。
　・高位シナリオ：現状の年間処理量の20%まで災害廃棄物を受け入れる。
　・公称能力最大：施設の公称能力と現在の年間処理量との差をすべて災害廃棄物処理に充てる。</t>
    <rPh sb="1" eb="3">
      <t>ゼンテイ</t>
    </rPh>
    <rPh sb="3" eb="5">
      <t>ジョウケン</t>
    </rPh>
    <rPh sb="8" eb="10">
      <t>キゾン</t>
    </rPh>
    <rPh sb="11" eb="13">
      <t>ショウキャク</t>
    </rPh>
    <rPh sb="13" eb="15">
      <t>ショリ</t>
    </rPh>
    <rPh sb="15" eb="17">
      <t>シセツ</t>
    </rPh>
    <rPh sb="22" eb="24">
      <t>ゲンザイ</t>
    </rPh>
    <rPh sb="25" eb="27">
      <t>カドウ</t>
    </rPh>
    <rPh sb="27" eb="29">
      <t>ジョウキョウ</t>
    </rPh>
    <rPh sb="30" eb="31">
      <t>タイ</t>
    </rPh>
    <rPh sb="33" eb="35">
      <t>フカ</t>
    </rPh>
    <rPh sb="36" eb="38">
      <t>コウリョ</t>
    </rPh>
    <rPh sb="46" eb="48">
      <t>セッテイ</t>
    </rPh>
    <rPh sb="53" eb="55">
      <t>カドウ</t>
    </rPh>
    <rPh sb="55" eb="57">
      <t>ネンスウ</t>
    </rPh>
    <rPh sb="58" eb="60">
      <t>ショリ</t>
    </rPh>
    <rPh sb="60" eb="62">
      <t>ノウリョク</t>
    </rPh>
    <rPh sb="63" eb="65">
      <t>ヨユウ</t>
    </rPh>
    <rPh sb="65" eb="66">
      <t>ブン</t>
    </rPh>
    <rPh sb="67" eb="69">
      <t>ワリアイ</t>
    </rPh>
    <rPh sb="131" eb="133">
      <t>テイイ</t>
    </rPh>
    <rPh sb="138" eb="140">
      <t>ゲンジョウ</t>
    </rPh>
    <rPh sb="141" eb="143">
      <t>ネンカン</t>
    </rPh>
    <rPh sb="143" eb="145">
      <t>ショリ</t>
    </rPh>
    <rPh sb="145" eb="146">
      <t>リョウ</t>
    </rPh>
    <rPh sb="151" eb="153">
      <t>サイガイ</t>
    </rPh>
    <rPh sb="153" eb="156">
      <t>ハイキブツ</t>
    </rPh>
    <rPh sb="157" eb="158">
      <t>ウ</t>
    </rPh>
    <rPh sb="159" eb="160">
      <t>イ</t>
    </rPh>
    <rPh sb="166" eb="167">
      <t>チュウ</t>
    </rPh>
    <rPh sb="202" eb="203">
      <t>コウ</t>
    </rPh>
    <rPh sb="238" eb="240">
      <t>コウショウ</t>
    </rPh>
    <rPh sb="240" eb="242">
      <t>ノウリョク</t>
    </rPh>
    <rPh sb="242" eb="244">
      <t>サイダイ</t>
    </rPh>
    <rPh sb="245" eb="247">
      <t>シセツ</t>
    </rPh>
    <rPh sb="248" eb="250">
      <t>コウショウ</t>
    </rPh>
    <rPh sb="250" eb="252">
      <t>ノウリョク</t>
    </rPh>
    <rPh sb="253" eb="255">
      <t>ゲンザイ</t>
    </rPh>
    <rPh sb="256" eb="258">
      <t>ネンカン</t>
    </rPh>
    <rPh sb="258" eb="260">
      <t>ショリ</t>
    </rPh>
    <rPh sb="260" eb="261">
      <t>リョウ</t>
    </rPh>
    <rPh sb="263" eb="264">
      <t>サ</t>
    </rPh>
    <rPh sb="268" eb="270">
      <t>サイガイ</t>
    </rPh>
    <rPh sb="270" eb="273">
      <t>ハイキブツ</t>
    </rPh>
    <rPh sb="273" eb="275">
      <t>ショリ</t>
    </rPh>
    <rPh sb="276" eb="277">
      <t>ア</t>
    </rPh>
    <phoneticPr fontId="2"/>
  </si>
  <si>
    <t>出典：災害廃棄物対策指針　技術資料【技14-4】</t>
    <phoneticPr fontId="2"/>
  </si>
  <si>
    <t>シナリオの考え方</t>
    <rPh sb="5" eb="6">
      <t>カンガ</t>
    </rPh>
    <rPh sb="7" eb="8">
      <t>カタ</t>
    </rPh>
    <phoneticPr fontId="2"/>
  </si>
  <si>
    <t>残余年数が10年以上の施設を対象とする</t>
    <rPh sb="0" eb="2">
      <t>ザンヨ</t>
    </rPh>
    <rPh sb="2" eb="4">
      <t>ネンスウ</t>
    </rPh>
    <rPh sb="7" eb="10">
      <t>ネンイジョウ</t>
    </rPh>
    <rPh sb="11" eb="13">
      <t>シセツ</t>
    </rPh>
    <rPh sb="14" eb="16">
      <t>タイショウ</t>
    </rPh>
    <phoneticPr fontId="2"/>
  </si>
  <si>
    <t>通常の一般廃棄物と併せて埋立処分を行うと想定し、年間埋立処分量（実績）に対する分担率を設定する</t>
    <rPh sb="0" eb="2">
      <t>ツウジョウ</t>
    </rPh>
    <rPh sb="3" eb="5">
      <t>イッパン</t>
    </rPh>
    <rPh sb="5" eb="8">
      <t>ハイキブツ</t>
    </rPh>
    <rPh sb="9" eb="10">
      <t>アワ</t>
    </rPh>
    <rPh sb="12" eb="14">
      <t>ウメタテ</t>
    </rPh>
    <rPh sb="14" eb="16">
      <t>ショブン</t>
    </rPh>
    <rPh sb="17" eb="18">
      <t>オコナ</t>
    </rPh>
    <rPh sb="20" eb="22">
      <t>ソウテイ</t>
    </rPh>
    <rPh sb="24" eb="26">
      <t>ネンカン</t>
    </rPh>
    <rPh sb="26" eb="28">
      <t>ウメタテ</t>
    </rPh>
    <rPh sb="28" eb="30">
      <t>ショブン</t>
    </rPh>
    <rPh sb="30" eb="31">
      <t>リョウ</t>
    </rPh>
    <rPh sb="32" eb="34">
      <t>ジッセキ</t>
    </rPh>
    <rPh sb="36" eb="37">
      <t>タイ</t>
    </rPh>
    <rPh sb="39" eb="41">
      <t>ブンタン</t>
    </rPh>
    <rPh sb="41" eb="42">
      <t>リツ</t>
    </rPh>
    <rPh sb="43" eb="45">
      <t>セッテイ</t>
    </rPh>
    <phoneticPr fontId="2"/>
  </si>
  <si>
    <t>【前提条件】
・既存の最終処分場において、現在の稼働状況に対する負荷を考慮して、シナリオを設定する。
・残余年数が10年未満の施設は対象外とする。
・各自治体の実情に合ったシナリオを採用してください。
　・低位シナリオ：現状の年間埋立処分量の最大10%まで災害廃棄物を受け入れる。
　・中位シナリオ：現状の年間埋立処分量の最大20%まで災害廃棄物を受け入れる。
　・高位シナリオ：現状の年間埋立処分量の最大40%まで災害廃棄物を受け入れる。</t>
    <rPh sb="1" eb="3">
      <t>ゼンテイ</t>
    </rPh>
    <rPh sb="3" eb="5">
      <t>ジョウケン</t>
    </rPh>
    <rPh sb="8" eb="10">
      <t>キゾン</t>
    </rPh>
    <rPh sb="11" eb="13">
      <t>サイシュウ</t>
    </rPh>
    <rPh sb="13" eb="16">
      <t>ショブンジョウ</t>
    </rPh>
    <rPh sb="21" eb="23">
      <t>ゲンザイ</t>
    </rPh>
    <rPh sb="24" eb="26">
      <t>カドウ</t>
    </rPh>
    <rPh sb="26" eb="28">
      <t>ジョウキョウ</t>
    </rPh>
    <rPh sb="29" eb="30">
      <t>タイ</t>
    </rPh>
    <rPh sb="32" eb="34">
      <t>フカ</t>
    </rPh>
    <rPh sb="35" eb="37">
      <t>コウリョ</t>
    </rPh>
    <rPh sb="45" eb="47">
      <t>セッテイ</t>
    </rPh>
    <rPh sb="52" eb="54">
      <t>ザンヨ</t>
    </rPh>
    <rPh sb="54" eb="56">
      <t>ネンスウ</t>
    </rPh>
    <rPh sb="59" eb="60">
      <t>ネン</t>
    </rPh>
    <rPh sb="60" eb="62">
      <t>ミマン</t>
    </rPh>
    <rPh sb="63" eb="65">
      <t>シセツ</t>
    </rPh>
    <rPh sb="66" eb="69">
      <t>タイショウガイ</t>
    </rPh>
    <rPh sb="103" eb="105">
      <t>テイイ</t>
    </rPh>
    <rPh sb="110" eb="112">
      <t>ゲンジョウ</t>
    </rPh>
    <rPh sb="113" eb="115">
      <t>ネンカン</t>
    </rPh>
    <rPh sb="115" eb="117">
      <t>ウメタテ</t>
    </rPh>
    <rPh sb="117" eb="119">
      <t>ショブン</t>
    </rPh>
    <rPh sb="119" eb="120">
      <t>リョウ</t>
    </rPh>
    <rPh sb="121" eb="123">
      <t>サイダイ</t>
    </rPh>
    <rPh sb="128" eb="130">
      <t>サイガイ</t>
    </rPh>
    <rPh sb="130" eb="133">
      <t>ハイキブツ</t>
    </rPh>
    <rPh sb="134" eb="135">
      <t>ウ</t>
    </rPh>
    <rPh sb="136" eb="137">
      <t>イ</t>
    </rPh>
    <rPh sb="143" eb="144">
      <t>チュウ</t>
    </rPh>
    <rPh sb="183" eb="184">
      <t>コウ</t>
    </rPh>
    <phoneticPr fontId="2"/>
  </si>
  <si>
    <t>項目</t>
    <rPh sb="0" eb="2">
      <t>コウモク</t>
    </rPh>
    <phoneticPr fontId="2"/>
  </si>
  <si>
    <t>原単位</t>
    <rPh sb="0" eb="3">
      <t>ゲンタンイ</t>
    </rPh>
    <phoneticPr fontId="2"/>
  </si>
  <si>
    <t>金属くず</t>
    <phoneticPr fontId="2"/>
  </si>
  <si>
    <t>埋立量（直近年度実績）</t>
    <rPh sb="4" eb="6">
      <t>チョッキン</t>
    </rPh>
    <rPh sb="6" eb="8">
      <t>ネンド</t>
    </rPh>
    <phoneticPr fontId="29"/>
  </si>
  <si>
    <t>t/年度</t>
    <phoneticPr fontId="2"/>
  </si>
  <si>
    <t>施設供用開始年度</t>
    <rPh sb="0" eb="2">
      <t>シセツ</t>
    </rPh>
    <rPh sb="2" eb="4">
      <t>キョウヨウ</t>
    </rPh>
    <rPh sb="4" eb="6">
      <t>カイシ</t>
    </rPh>
    <rPh sb="6" eb="8">
      <t>ネンド</t>
    </rPh>
    <phoneticPr fontId="2"/>
  </si>
  <si>
    <t>年間最大稼働日数</t>
    <rPh sb="0" eb="2">
      <t>ネンカン</t>
    </rPh>
    <rPh sb="2" eb="4">
      <t>サイダイ</t>
    </rPh>
    <rPh sb="4" eb="6">
      <t>カドウ</t>
    </rPh>
    <rPh sb="6" eb="8">
      <t>ニッスウ</t>
    </rPh>
    <phoneticPr fontId="2"/>
  </si>
  <si>
    <t>焼却施設の概要を記載する</t>
    <rPh sb="0" eb="2">
      <t>ショウキャク</t>
    </rPh>
    <rPh sb="2" eb="4">
      <t>シセツ</t>
    </rPh>
    <rPh sb="5" eb="7">
      <t>ガイヨウ</t>
    </rPh>
    <rPh sb="8" eb="10">
      <t>キサイ</t>
    </rPh>
    <phoneticPr fontId="2"/>
  </si>
  <si>
    <t>施設の供用開始年度</t>
    <rPh sb="0" eb="2">
      <t>シセツ</t>
    </rPh>
    <rPh sb="3" eb="5">
      <t>キョウヨウ</t>
    </rPh>
    <rPh sb="5" eb="7">
      <t>カイシ</t>
    </rPh>
    <rPh sb="7" eb="9">
      <t>ネンド</t>
    </rPh>
    <phoneticPr fontId="2"/>
  </si>
  <si>
    <t>定期的な補修点検日数を除いて可能な最大日数</t>
    <rPh sb="0" eb="3">
      <t>テイキテキ</t>
    </rPh>
    <rPh sb="4" eb="6">
      <t>ホシュウ</t>
    </rPh>
    <rPh sb="6" eb="8">
      <t>テンケン</t>
    </rPh>
    <rPh sb="8" eb="10">
      <t>ニッスウ</t>
    </rPh>
    <rPh sb="11" eb="12">
      <t>ノゾ</t>
    </rPh>
    <rPh sb="14" eb="16">
      <t>カノウ</t>
    </rPh>
    <rPh sb="17" eb="19">
      <t>サイダイ</t>
    </rPh>
    <rPh sb="19" eb="21">
      <t>ニッスウ</t>
    </rPh>
    <phoneticPr fontId="2"/>
  </si>
  <si>
    <t>公表されている処理能力（パンフレット記載値等）。複数炉ある場合は合計値。</t>
    <rPh sb="0" eb="2">
      <t>コウヒョウ</t>
    </rPh>
    <rPh sb="7" eb="9">
      <t>ショリ</t>
    </rPh>
    <rPh sb="9" eb="11">
      <t>ノウリョク</t>
    </rPh>
    <rPh sb="18" eb="20">
      <t>キサイ</t>
    </rPh>
    <rPh sb="20" eb="21">
      <t>チ</t>
    </rPh>
    <rPh sb="21" eb="22">
      <t>トウ</t>
    </rPh>
    <rPh sb="24" eb="26">
      <t>フクスウ</t>
    </rPh>
    <rPh sb="26" eb="27">
      <t>ロ</t>
    </rPh>
    <rPh sb="29" eb="31">
      <t>バアイ</t>
    </rPh>
    <rPh sb="32" eb="35">
      <t>ゴウケイチ</t>
    </rPh>
    <phoneticPr fontId="2"/>
  </si>
  <si>
    <t>最終処分場の概要を記載する</t>
    <rPh sb="0" eb="2">
      <t>サイシュウ</t>
    </rPh>
    <rPh sb="2" eb="5">
      <t>ショブンジョウ</t>
    </rPh>
    <rPh sb="6" eb="8">
      <t>ガイヨウ</t>
    </rPh>
    <rPh sb="9" eb="11">
      <t>キサイ</t>
    </rPh>
    <phoneticPr fontId="2"/>
  </si>
  <si>
    <t>下欄の年間処理量（実績）の年度</t>
    <rPh sb="0" eb="1">
      <t>シタ</t>
    </rPh>
    <rPh sb="1" eb="2">
      <t>ラン</t>
    </rPh>
    <rPh sb="3" eb="5">
      <t>ネンカン</t>
    </rPh>
    <rPh sb="5" eb="7">
      <t>ショリ</t>
    </rPh>
    <rPh sb="7" eb="8">
      <t>リョウ</t>
    </rPh>
    <rPh sb="9" eb="11">
      <t>ジッセキ</t>
    </rPh>
    <rPh sb="13" eb="15">
      <t>ネンド</t>
    </rPh>
    <phoneticPr fontId="2"/>
  </si>
  <si>
    <t>下欄の埋立量（実績）の年度</t>
    <rPh sb="0" eb="2">
      <t>シタラン</t>
    </rPh>
    <rPh sb="3" eb="5">
      <t>ウメタテ</t>
    </rPh>
    <rPh sb="5" eb="6">
      <t>リョウ</t>
    </rPh>
    <rPh sb="7" eb="9">
      <t>ジッセキ</t>
    </rPh>
    <rPh sb="11" eb="13">
      <t>ネンド</t>
    </rPh>
    <phoneticPr fontId="2"/>
  </si>
  <si>
    <t>基準年度末の残余容量</t>
    <rPh sb="0" eb="2">
      <t>キジュン</t>
    </rPh>
    <rPh sb="2" eb="4">
      <t>ネンド</t>
    </rPh>
    <rPh sb="4" eb="5">
      <t>マツ</t>
    </rPh>
    <rPh sb="6" eb="8">
      <t>ザンヨ</t>
    </rPh>
    <rPh sb="8" eb="10">
      <t>ヨウリョウ</t>
    </rPh>
    <phoneticPr fontId="2"/>
  </si>
  <si>
    <t>基準年度の処分場全体の埋立量(t単位)</t>
    <rPh sb="0" eb="2">
      <t>キジュン</t>
    </rPh>
    <rPh sb="2" eb="4">
      <t>ネンド</t>
    </rPh>
    <rPh sb="5" eb="8">
      <t>ショブンジョウ</t>
    </rPh>
    <rPh sb="8" eb="10">
      <t>ゼンタイ</t>
    </rPh>
    <rPh sb="11" eb="13">
      <t>ウメタテ</t>
    </rPh>
    <rPh sb="13" eb="14">
      <t>リョウ</t>
    </rPh>
    <rPh sb="16" eb="18">
      <t>タンイ</t>
    </rPh>
    <phoneticPr fontId="2"/>
  </si>
  <si>
    <r>
      <t>複数自治体で施設を運営している場合等は、</t>
    </r>
    <r>
      <rPr>
        <sz val="11"/>
        <color rgb="FFFF5050"/>
        <rFont val="HGPｺﾞｼｯｸM"/>
        <family val="3"/>
        <charset val="128"/>
      </rPr>
      <t>自市町村の年間埋立実績</t>
    </r>
    <r>
      <rPr>
        <sz val="11"/>
        <color theme="1"/>
        <rFont val="HGPｺﾞｼｯｸM"/>
        <family val="3"/>
        <charset val="128"/>
      </rPr>
      <t>を記載
単独自治体で運営している場合は入力しない</t>
    </r>
    <rPh sb="17" eb="18">
      <t>トウ</t>
    </rPh>
    <rPh sb="20" eb="21">
      <t>ジ</t>
    </rPh>
    <rPh sb="21" eb="24">
      <t>シチョウソン</t>
    </rPh>
    <rPh sb="25" eb="27">
      <t>ネンカン</t>
    </rPh>
    <rPh sb="27" eb="29">
      <t>ウメタテ</t>
    </rPh>
    <rPh sb="29" eb="31">
      <t>ジッセキ</t>
    </rPh>
    <rPh sb="32" eb="34">
      <t>キサイ</t>
    </rPh>
    <rPh sb="35" eb="37">
      <t>タンドク</t>
    </rPh>
    <rPh sb="37" eb="40">
      <t>ジチタイ</t>
    </rPh>
    <rPh sb="41" eb="43">
      <t>ウンエイ</t>
    </rPh>
    <rPh sb="47" eb="49">
      <t>バアイ</t>
    </rPh>
    <rPh sb="50" eb="52">
      <t>ニュウリョク</t>
    </rPh>
    <phoneticPr fontId="2"/>
  </si>
  <si>
    <t>実積年度</t>
    <rPh sb="0" eb="2">
      <t>ジッセキ</t>
    </rPh>
    <rPh sb="2" eb="3">
      <t>ネン</t>
    </rPh>
    <rPh sb="3" eb="4">
      <t>ド</t>
    </rPh>
    <phoneticPr fontId="2"/>
  </si>
  <si>
    <r>
      <t>実積年度の</t>
    </r>
    <r>
      <rPr>
        <sz val="11"/>
        <color rgb="FFFF0000"/>
        <rFont val="HGPｺﾞｼｯｸM"/>
        <family val="3"/>
        <charset val="128"/>
      </rPr>
      <t>施設全体の</t>
    </r>
    <r>
      <rPr>
        <sz val="11"/>
        <color theme="1"/>
        <rFont val="HGPｺﾞｼｯｸM"/>
        <family val="3"/>
        <charset val="128"/>
      </rPr>
      <t>実積を使用</t>
    </r>
    <rPh sb="0" eb="2">
      <t>ジッセキ</t>
    </rPh>
    <rPh sb="2" eb="4">
      <t>ネンド</t>
    </rPh>
    <rPh sb="5" eb="7">
      <t>シセツ</t>
    </rPh>
    <rPh sb="7" eb="9">
      <t>ゼンタイ</t>
    </rPh>
    <rPh sb="10" eb="12">
      <t>ジッセキ</t>
    </rPh>
    <rPh sb="13" eb="15">
      <t>シヨウ</t>
    </rPh>
    <phoneticPr fontId="2"/>
  </si>
  <si>
    <r>
      <t>複数自治体で施設を運営している場合等は、</t>
    </r>
    <r>
      <rPr>
        <sz val="11"/>
        <color rgb="FFFF0000"/>
        <rFont val="HGPｺﾞｼｯｸM"/>
        <family val="3"/>
        <charset val="128"/>
      </rPr>
      <t>自市町村のみの実積年度の年間処理実績</t>
    </r>
    <r>
      <rPr>
        <sz val="11"/>
        <color theme="1"/>
        <rFont val="HGPｺﾞｼｯｸM"/>
        <family val="3"/>
        <charset val="128"/>
      </rPr>
      <t>を記載
単独自治体で運営している場合は入力しない</t>
    </r>
    <rPh sb="17" eb="18">
      <t>トウ</t>
    </rPh>
    <rPh sb="20" eb="21">
      <t>ジ</t>
    </rPh>
    <rPh sb="21" eb="24">
      <t>シチョウソン</t>
    </rPh>
    <rPh sb="27" eb="29">
      <t>ジッセキ</t>
    </rPh>
    <rPh sb="29" eb="31">
      <t>ネンド</t>
    </rPh>
    <rPh sb="32" eb="34">
      <t>ネンカン</t>
    </rPh>
    <rPh sb="34" eb="36">
      <t>ショリ</t>
    </rPh>
    <rPh sb="36" eb="38">
      <t>ジッセキ</t>
    </rPh>
    <rPh sb="39" eb="41">
      <t>キサイ</t>
    </rPh>
    <rPh sb="42" eb="44">
      <t>タンドク</t>
    </rPh>
    <rPh sb="44" eb="47">
      <t>ジチタイ</t>
    </rPh>
    <rPh sb="48" eb="50">
      <t>ウンエイ</t>
    </rPh>
    <rPh sb="54" eb="56">
      <t>バアイ</t>
    </rPh>
    <rPh sb="57" eb="59">
      <t>ニュウリョク</t>
    </rPh>
    <phoneticPr fontId="2"/>
  </si>
  <si>
    <t>し尿処理施設</t>
    <rPh sb="1" eb="2">
      <t>ニョウ</t>
    </rPh>
    <rPh sb="2" eb="6">
      <t>ショリシセツ</t>
    </rPh>
    <phoneticPr fontId="2"/>
  </si>
  <si>
    <t>可燃物(t)</t>
    <rPh sb="0" eb="3">
      <t>カネンブツ</t>
    </rPh>
    <phoneticPr fontId="2"/>
  </si>
  <si>
    <t>不燃物(t)</t>
    <rPh sb="0" eb="3">
      <t>フネンブツ</t>
    </rPh>
    <phoneticPr fontId="2"/>
  </si>
  <si>
    <t>木くず(t)</t>
    <rPh sb="0" eb="1">
      <t>キ</t>
    </rPh>
    <phoneticPr fontId="2"/>
  </si>
  <si>
    <t>ｺﾝｸﾘｰﾄくず(t)</t>
    <phoneticPr fontId="2"/>
  </si>
  <si>
    <t>金属くず(t)</t>
    <rPh sb="0" eb="2">
      <t>キンゾク</t>
    </rPh>
    <phoneticPr fontId="2"/>
  </si>
  <si>
    <t>その他(t)</t>
    <rPh sb="2" eb="3">
      <t>タ</t>
    </rPh>
    <phoneticPr fontId="2"/>
  </si>
  <si>
    <t>焼却・発電(t)</t>
    <rPh sb="0" eb="2">
      <t>ショウキャク</t>
    </rPh>
    <rPh sb="3" eb="5">
      <t>ハツデン</t>
    </rPh>
    <phoneticPr fontId="2"/>
  </si>
  <si>
    <t>破砕(t)</t>
    <rPh sb="0" eb="2">
      <t>ハサイ</t>
    </rPh>
    <phoneticPr fontId="2"/>
  </si>
  <si>
    <t>選別(t)</t>
    <rPh sb="0" eb="2">
      <t>センベツ</t>
    </rPh>
    <phoneticPr fontId="2"/>
  </si>
  <si>
    <t>再生利用等(t)</t>
    <rPh sb="0" eb="4">
      <t>サイセイリヨウ</t>
    </rPh>
    <rPh sb="4" eb="5">
      <t>トウ</t>
    </rPh>
    <phoneticPr fontId="2"/>
  </si>
  <si>
    <t>リサイクル等(t)</t>
    <rPh sb="5" eb="6">
      <t>トウ</t>
    </rPh>
    <phoneticPr fontId="2"/>
  </si>
  <si>
    <t>土木資材(t)</t>
    <rPh sb="0" eb="4">
      <t>ドボクシザイ</t>
    </rPh>
    <phoneticPr fontId="2"/>
  </si>
  <si>
    <t>再生利用(t)</t>
    <rPh sb="0" eb="4">
      <t>サイセイリヨウ</t>
    </rPh>
    <phoneticPr fontId="2"/>
  </si>
  <si>
    <t>最終処分(m3)</t>
    <rPh sb="0" eb="4">
      <t>サイシュウショブン</t>
    </rPh>
    <phoneticPr fontId="2"/>
  </si>
  <si>
    <t>a</t>
    <phoneticPr fontId="2"/>
  </si>
  <si>
    <t>出典：災害廃棄物対策指針　技術資料【技14-2】</t>
    <phoneticPr fontId="2"/>
  </si>
  <si>
    <t>c1</t>
    <phoneticPr fontId="2"/>
  </si>
  <si>
    <t>c2</t>
    <phoneticPr fontId="2"/>
  </si>
  <si>
    <t>c3</t>
  </si>
  <si>
    <t>c4</t>
  </si>
  <si>
    <t>ｔ</t>
    <phoneticPr fontId="2"/>
  </si>
  <si>
    <t>a1</t>
    <phoneticPr fontId="2"/>
  </si>
  <si>
    <t>a2</t>
    <phoneticPr fontId="2"/>
  </si>
  <si>
    <t>b1</t>
    <phoneticPr fontId="2"/>
  </si>
  <si>
    <t>b2</t>
    <phoneticPr fontId="2"/>
  </si>
  <si>
    <t>b3</t>
  </si>
  <si>
    <t>b4</t>
  </si>
  <si>
    <t>左欄の年数を超える施設を除外</t>
    <rPh sb="0" eb="2">
      <t>サラン</t>
    </rPh>
    <rPh sb="3" eb="5">
      <t>ネンスウ</t>
    </rPh>
    <rPh sb="6" eb="7">
      <t>コ</t>
    </rPh>
    <rPh sb="9" eb="11">
      <t>シセツ</t>
    </rPh>
    <rPh sb="12" eb="14">
      <t>ジョガイ</t>
    </rPh>
    <phoneticPr fontId="2"/>
  </si>
  <si>
    <t>分担率（最大値）を左欄のとおりとする</t>
    <rPh sb="0" eb="2">
      <t>ブンタン</t>
    </rPh>
    <rPh sb="2" eb="3">
      <t>リツ</t>
    </rPh>
    <rPh sb="4" eb="6">
      <t>サイダイ</t>
    </rPh>
    <rPh sb="6" eb="7">
      <t>チ</t>
    </rPh>
    <rPh sb="9" eb="11">
      <t>サラン</t>
    </rPh>
    <phoneticPr fontId="2"/>
  </si>
  <si>
    <t>a8</t>
  </si>
  <si>
    <t>a9</t>
  </si>
  <si>
    <t>年間処理量の実績に対する分担率（％）R</t>
    <rPh sb="0" eb="2">
      <t>ネンカン</t>
    </rPh>
    <rPh sb="2" eb="4">
      <t>ショリ</t>
    </rPh>
    <rPh sb="4" eb="5">
      <t>リョウ</t>
    </rPh>
    <rPh sb="6" eb="8">
      <t>ジッセキ</t>
    </rPh>
    <rPh sb="9" eb="10">
      <t>タイ</t>
    </rPh>
    <rPh sb="12" eb="14">
      <t>ブンタン</t>
    </rPh>
    <rPh sb="14" eb="15">
      <t>リツ</t>
    </rPh>
    <phoneticPr fontId="4"/>
  </si>
  <si>
    <t>処理期間（年）</t>
    <rPh sb="0" eb="4">
      <t>ショリキカン</t>
    </rPh>
    <rPh sb="5" eb="6">
      <t>ネン</t>
    </rPh>
    <phoneticPr fontId="2"/>
  </si>
  <si>
    <t>単独処理の場合</t>
    <rPh sb="0" eb="4">
      <t>タンドクショリ</t>
    </rPh>
    <rPh sb="5" eb="7">
      <t>バアイ</t>
    </rPh>
    <phoneticPr fontId="2"/>
  </si>
  <si>
    <t>共同処理の場合</t>
    <rPh sb="0" eb="4">
      <t>キョウドウショリ</t>
    </rPh>
    <rPh sb="5" eb="7">
      <t>バアイ</t>
    </rPh>
    <phoneticPr fontId="2"/>
  </si>
  <si>
    <t>高位シナリオの処理能力が公称能力最大を超えた場合は、公称最大能力とする。</t>
    <rPh sb="0" eb="2">
      <t>コウイ</t>
    </rPh>
    <rPh sb="7" eb="11">
      <t>ショリノウリョク</t>
    </rPh>
    <rPh sb="12" eb="16">
      <t>コウショウノウリョク</t>
    </rPh>
    <rPh sb="16" eb="18">
      <t>サイダイ</t>
    </rPh>
    <rPh sb="19" eb="20">
      <t>コ</t>
    </rPh>
    <rPh sb="22" eb="24">
      <t>バアイ</t>
    </rPh>
    <rPh sb="26" eb="28">
      <t>コウショウ</t>
    </rPh>
    <rPh sb="28" eb="32">
      <t>サイダイノウリョク</t>
    </rPh>
    <phoneticPr fontId="2"/>
  </si>
  <si>
    <t>処理可能量の欄の「―」はシナリオ上除外されたもの</t>
    <phoneticPr fontId="2"/>
  </si>
  <si>
    <t>分担率（％）R</t>
    <rPh sb="0" eb="2">
      <t>ブンタン</t>
    </rPh>
    <rPh sb="2" eb="3">
      <t>リツ</t>
    </rPh>
    <phoneticPr fontId="4"/>
  </si>
  <si>
    <t>※焼却及び最終処分の前処理としての破砕機は、必要十分の能力と考え考慮していない</t>
    <rPh sb="1" eb="3">
      <t>ショウキャク</t>
    </rPh>
    <rPh sb="3" eb="4">
      <t>オヨ</t>
    </rPh>
    <rPh sb="5" eb="9">
      <t>サイシュウショブン</t>
    </rPh>
    <rPh sb="10" eb="13">
      <t>マエショリ</t>
    </rPh>
    <rPh sb="17" eb="20">
      <t>ハサイキ</t>
    </rPh>
    <rPh sb="22" eb="24">
      <t>ヒツヨウ</t>
    </rPh>
    <rPh sb="24" eb="26">
      <t>ジュウブン</t>
    </rPh>
    <rPh sb="27" eb="29">
      <t>ノウリョク</t>
    </rPh>
    <rPh sb="30" eb="31">
      <t>カンガ</t>
    </rPh>
    <rPh sb="32" eb="34">
      <t>コウリョ</t>
    </rPh>
    <phoneticPr fontId="2"/>
  </si>
  <si>
    <t>地震</t>
    <rPh sb="0" eb="2">
      <t>ジシン</t>
    </rPh>
    <phoneticPr fontId="2"/>
  </si>
  <si>
    <t>焼却灰飛灰</t>
    <rPh sb="0" eb="3">
      <t>ショウキャクバイ</t>
    </rPh>
    <rPh sb="3" eb="4">
      <t>ヒ</t>
    </rPh>
    <rPh sb="4" eb="5">
      <t>ハイ</t>
    </rPh>
    <phoneticPr fontId="2"/>
  </si>
  <si>
    <t>２　処理可能量</t>
    <rPh sb="2" eb="7">
      <t>ショリカノウリョウ</t>
    </rPh>
    <phoneticPr fontId="2"/>
  </si>
  <si>
    <t>焼却</t>
    <rPh sb="0" eb="2">
      <t>ショウキャク</t>
    </rPh>
    <phoneticPr fontId="2"/>
  </si>
  <si>
    <t>最終</t>
    <rPh sb="0" eb="2">
      <t>サイシュウ</t>
    </rPh>
    <phoneticPr fontId="2"/>
  </si>
  <si>
    <t>　利用（支援施設）とした</t>
    <rPh sb="1" eb="3">
      <t>リヨウ</t>
    </rPh>
    <rPh sb="4" eb="6">
      <t>シエン</t>
    </rPh>
    <rPh sb="6" eb="8">
      <t>シセツ</t>
    </rPh>
    <phoneticPr fontId="2"/>
  </si>
  <si>
    <t>３　マスバランス</t>
    <phoneticPr fontId="2"/>
  </si>
  <si>
    <t>平常時施設</t>
    <rPh sb="0" eb="5">
      <t>ヘイジョウジシセツ</t>
    </rPh>
    <phoneticPr fontId="2"/>
  </si>
  <si>
    <t>発生量</t>
    <rPh sb="0" eb="3">
      <t>ハッセイリョウ</t>
    </rPh>
    <phoneticPr fontId="2"/>
  </si>
  <si>
    <t>高位シナリオ</t>
    <rPh sb="0" eb="2">
      <t>コウイ</t>
    </rPh>
    <phoneticPr fontId="2"/>
  </si>
  <si>
    <t>し尿（L/日）</t>
    <rPh sb="1" eb="2">
      <t>ニョウ</t>
    </rPh>
    <rPh sb="5" eb="6">
      <t>ニチ</t>
    </rPh>
    <phoneticPr fontId="2"/>
  </si>
  <si>
    <t>し尿処理</t>
    <rPh sb="1" eb="2">
      <t>ニョウ</t>
    </rPh>
    <rPh sb="2" eb="4">
      <t>ショリ</t>
    </rPh>
    <phoneticPr fontId="2"/>
  </si>
  <si>
    <t>名称</t>
    <rPh sb="0" eb="2">
      <t>メイショウ</t>
    </rPh>
    <phoneticPr fontId="2"/>
  </si>
  <si>
    <t>高位シナリオ（ｔ）</t>
    <rPh sb="0" eb="2">
      <t>コウイ</t>
    </rPh>
    <phoneticPr fontId="2"/>
  </si>
  <si>
    <t>公称能力（ｔ）</t>
    <rPh sb="0" eb="4">
      <t>コウショウノウリョク</t>
    </rPh>
    <phoneticPr fontId="2"/>
  </si>
  <si>
    <t>処理量実績</t>
    <rPh sb="0" eb="3">
      <t>ショリリョウ</t>
    </rPh>
    <rPh sb="3" eb="5">
      <t>ジッセキ</t>
    </rPh>
    <phoneticPr fontId="2"/>
  </si>
  <si>
    <t>処理方式</t>
    <rPh sb="0" eb="4">
      <t>ショリホウシキ</t>
    </rPh>
    <phoneticPr fontId="2"/>
  </si>
  <si>
    <t>単独</t>
    <rPh sb="0" eb="2">
      <t>タンドク</t>
    </rPh>
    <phoneticPr fontId="2"/>
  </si>
  <si>
    <t>「単独」か「共同」（組合、委託など）を記載</t>
    <rPh sb="1" eb="3">
      <t>タンドク</t>
    </rPh>
    <rPh sb="6" eb="8">
      <t>キョウドウ</t>
    </rPh>
    <rPh sb="10" eb="12">
      <t>クミアイ</t>
    </rPh>
    <rPh sb="13" eb="15">
      <t>イタク</t>
    </rPh>
    <rPh sb="19" eb="21">
      <t>キサイ</t>
    </rPh>
    <phoneticPr fontId="2"/>
  </si>
  <si>
    <t>共同</t>
    <rPh sb="0" eb="2">
      <t>キョウドウ</t>
    </rPh>
    <phoneticPr fontId="2"/>
  </si>
  <si>
    <t>単独</t>
    <phoneticPr fontId="2"/>
  </si>
  <si>
    <t>結果</t>
    <rPh sb="0" eb="2">
      <t>ケッカ</t>
    </rPh>
    <phoneticPr fontId="2"/>
  </si>
  <si>
    <t>焼却量（ｔ）</t>
    <rPh sb="0" eb="2">
      <t>ショウキャク</t>
    </rPh>
    <rPh sb="2" eb="3">
      <t>リョウ</t>
    </rPh>
    <phoneticPr fontId="2"/>
  </si>
  <si>
    <t>最終処分量（ｔ）</t>
    <rPh sb="0" eb="5">
      <t>サイシュウショブンリョウ</t>
    </rPh>
    <phoneticPr fontId="2"/>
  </si>
  <si>
    <t>し尿処理可能量</t>
    <rPh sb="1" eb="2">
      <t>ニョウ</t>
    </rPh>
    <rPh sb="2" eb="7">
      <t>ショリカノウリョウ</t>
    </rPh>
    <phoneticPr fontId="2"/>
  </si>
  <si>
    <t>処理能力</t>
    <rPh sb="0" eb="4">
      <t>ショリノウリョク</t>
    </rPh>
    <phoneticPr fontId="2"/>
  </si>
  <si>
    <t>年間処理量</t>
    <rPh sb="0" eb="5">
      <t>ネンカンショリリョウ</t>
    </rPh>
    <phoneticPr fontId="2"/>
  </si>
  <si>
    <t>最大稼働日数</t>
    <rPh sb="0" eb="2">
      <t>サイダイ</t>
    </rPh>
    <rPh sb="2" eb="6">
      <t>カドウニッスウ</t>
    </rPh>
    <phoneticPr fontId="2"/>
  </si>
  <si>
    <t>日</t>
    <rPh sb="0" eb="1">
      <t>ニチ</t>
    </rPh>
    <phoneticPr fontId="2"/>
  </si>
  <si>
    <t>自市町村処理分</t>
    <rPh sb="0" eb="4">
      <t>ジシチョウソン</t>
    </rPh>
    <rPh sb="4" eb="7">
      <t>ショリブン</t>
    </rPh>
    <phoneticPr fontId="2"/>
  </si>
  <si>
    <t>　余力</t>
    <rPh sb="1" eb="3">
      <t>ヨリョク</t>
    </rPh>
    <phoneticPr fontId="2"/>
  </si>
  <si>
    <t>　余力自市町村分</t>
    <rPh sb="1" eb="3">
      <t>ヨリョク</t>
    </rPh>
    <rPh sb="3" eb="8">
      <t>ジシチョウソンブン</t>
    </rPh>
    <phoneticPr fontId="2"/>
  </si>
  <si>
    <t>支援必要量</t>
    <rPh sb="0" eb="2">
      <t>シエン</t>
    </rPh>
    <rPh sb="2" eb="4">
      <t>ヒツヨウ</t>
    </rPh>
    <rPh sb="4" eb="5">
      <t>リョウ</t>
    </rPh>
    <phoneticPr fontId="2"/>
  </si>
  <si>
    <t>最大能力</t>
    <rPh sb="0" eb="4">
      <t>サイダイノウリョク</t>
    </rPh>
    <phoneticPr fontId="2"/>
  </si>
  <si>
    <t>避難所ごみ（ｔ/日）</t>
    <rPh sb="0" eb="3">
      <t>ヒナンショ</t>
    </rPh>
    <rPh sb="8" eb="9">
      <t>ニチ</t>
    </rPh>
    <phoneticPr fontId="2"/>
  </si>
  <si>
    <t>避難所ごみ(t)</t>
    <rPh sb="0" eb="3">
      <t>ヒナンショ</t>
    </rPh>
    <phoneticPr fontId="2"/>
  </si>
  <si>
    <t>公称最大能力で計算</t>
    <rPh sb="0" eb="2">
      <t>コウショウ</t>
    </rPh>
    <rPh sb="2" eb="6">
      <t>サイダイノウリョク</t>
    </rPh>
    <rPh sb="7" eb="9">
      <t>ケイサン</t>
    </rPh>
    <phoneticPr fontId="2"/>
  </si>
  <si>
    <t>高位シナリオで計算</t>
    <rPh sb="0" eb="2">
      <t>コウイ</t>
    </rPh>
    <rPh sb="7" eb="9">
      <t>ケイサン</t>
    </rPh>
    <phoneticPr fontId="2"/>
  </si>
  <si>
    <t>※津波堆積物の選別施設は、平常時施設として存在しないと考えられるので、支援施設とした</t>
    <rPh sb="1" eb="3">
      <t>ツナミ</t>
    </rPh>
    <rPh sb="3" eb="6">
      <t>タイセキブツ</t>
    </rPh>
    <rPh sb="7" eb="11">
      <t>センベツシセツ</t>
    </rPh>
    <rPh sb="13" eb="18">
      <t>ヘイジョウジシセツ</t>
    </rPh>
    <rPh sb="21" eb="23">
      <t>ソンザイ</t>
    </rPh>
    <rPh sb="27" eb="28">
      <t>カンガ</t>
    </rPh>
    <rPh sb="35" eb="37">
      <t>シエン</t>
    </rPh>
    <rPh sb="37" eb="39">
      <t>シセツ</t>
    </rPh>
    <phoneticPr fontId="2"/>
  </si>
  <si>
    <t>処理期間</t>
    <rPh sb="0" eb="4">
      <t>ショリキカン</t>
    </rPh>
    <phoneticPr fontId="2"/>
  </si>
  <si>
    <t>年</t>
    <rPh sb="0" eb="1">
      <t>ネン</t>
    </rPh>
    <phoneticPr fontId="2"/>
  </si>
  <si>
    <t>指針の期間</t>
    <rPh sb="0" eb="2">
      <t>シシン</t>
    </rPh>
    <rPh sb="3" eb="5">
      <t>キカン</t>
    </rPh>
    <phoneticPr fontId="2"/>
  </si>
  <si>
    <t>％</t>
    <phoneticPr fontId="2"/>
  </si>
  <si>
    <t>平時に３町で同程度の量を共同処理しているが、主な被災が1町だった場合など。平時の割合のときは「ー」を入力。（発災時に入力）</t>
    <rPh sb="0" eb="2">
      <t>ヘイジ</t>
    </rPh>
    <rPh sb="4" eb="5">
      <t>チョウ</t>
    </rPh>
    <rPh sb="6" eb="9">
      <t>ドウテイド</t>
    </rPh>
    <rPh sb="10" eb="11">
      <t>リョウ</t>
    </rPh>
    <rPh sb="12" eb="16">
      <t>キョウドウショリ</t>
    </rPh>
    <rPh sb="22" eb="23">
      <t>オモ</t>
    </rPh>
    <rPh sb="24" eb="26">
      <t>ヒサイ</t>
    </rPh>
    <rPh sb="28" eb="29">
      <t>チョウ</t>
    </rPh>
    <rPh sb="32" eb="34">
      <t>バアイ</t>
    </rPh>
    <rPh sb="37" eb="39">
      <t>ヘイジ</t>
    </rPh>
    <rPh sb="40" eb="42">
      <t>ワリアイ</t>
    </rPh>
    <rPh sb="50" eb="52">
      <t>ニュウリョク</t>
    </rPh>
    <rPh sb="54" eb="57">
      <t>ハッサイジ</t>
    </rPh>
    <rPh sb="58" eb="60">
      <t>ニュウリョク</t>
    </rPh>
    <phoneticPr fontId="2"/>
  </si>
  <si>
    <t>単独</t>
  </si>
  <si>
    <t>-</t>
    <phoneticPr fontId="2"/>
  </si>
  <si>
    <t>a10</t>
    <phoneticPr fontId="2"/>
  </si>
  <si>
    <t>■最終処分場処理可能量算定</t>
    <rPh sb="1" eb="3">
      <t>サイシュウ</t>
    </rPh>
    <rPh sb="3" eb="6">
      <t>ショブンジョウ</t>
    </rPh>
    <rPh sb="6" eb="8">
      <t>ショリ</t>
    </rPh>
    <rPh sb="8" eb="11">
      <t>カノウリョウ</t>
    </rPh>
    <rPh sb="11" eb="13">
      <t>サンテイ</t>
    </rPh>
    <phoneticPr fontId="2"/>
  </si>
  <si>
    <t>避難所ごみ（ｔ/処理期間）</t>
    <rPh sb="0" eb="3">
      <t>ヒナンショ</t>
    </rPh>
    <rPh sb="8" eb="12">
      <t>ショリキカン</t>
    </rPh>
    <phoneticPr fontId="2"/>
  </si>
  <si>
    <t>「単独」か「共同」（組合、委託など）のいずれか記載</t>
    <rPh sb="1" eb="3">
      <t>タンドク</t>
    </rPh>
    <rPh sb="6" eb="8">
      <t>キョウドウ</t>
    </rPh>
    <rPh sb="10" eb="12">
      <t>クミアイ</t>
    </rPh>
    <rPh sb="13" eb="15">
      <t>イタク</t>
    </rPh>
    <rPh sb="23" eb="25">
      <t>キサイ</t>
    </rPh>
    <phoneticPr fontId="2"/>
  </si>
  <si>
    <t>１　発生量（ｔ）</t>
    <rPh sb="2" eb="5">
      <t>ハッセイリョウ</t>
    </rPh>
    <phoneticPr fontId="2"/>
  </si>
  <si>
    <t>種類　/　災害区分</t>
    <rPh sb="0" eb="2">
      <t>シュルイ</t>
    </rPh>
    <rPh sb="5" eb="9">
      <t>サイガイクブン</t>
    </rPh>
    <phoneticPr fontId="31"/>
  </si>
  <si>
    <t>平時に３町で同程度の量を共同処理しているが、主な被災が1町だった場合など。
平時の割合のときは「ー」を入力。（発災時に入力）</t>
    <rPh sb="0" eb="2">
      <t>ヘイジ</t>
    </rPh>
    <rPh sb="4" eb="5">
      <t>チョウ</t>
    </rPh>
    <rPh sb="6" eb="9">
      <t>ドウテイド</t>
    </rPh>
    <rPh sb="10" eb="11">
      <t>リョウ</t>
    </rPh>
    <rPh sb="12" eb="16">
      <t>キョウドウショリ</t>
    </rPh>
    <rPh sb="22" eb="23">
      <t>オモ</t>
    </rPh>
    <rPh sb="24" eb="26">
      <t>ヒサイ</t>
    </rPh>
    <rPh sb="28" eb="29">
      <t>チョウ</t>
    </rPh>
    <rPh sb="32" eb="34">
      <t>バアイ</t>
    </rPh>
    <rPh sb="38" eb="40">
      <t>ヘイジ</t>
    </rPh>
    <rPh sb="41" eb="43">
      <t>ワリアイ</t>
    </rPh>
    <rPh sb="51" eb="53">
      <t>ニュウリョク</t>
    </rPh>
    <rPh sb="55" eb="58">
      <t>ハッサイジ</t>
    </rPh>
    <rPh sb="59" eb="61">
      <t>ニュウリョク</t>
    </rPh>
    <phoneticPr fontId="2"/>
  </si>
  <si>
    <t>種類</t>
    <rPh sb="0" eb="2">
      <t>シュルイ</t>
    </rPh>
    <phoneticPr fontId="2"/>
  </si>
  <si>
    <t>地震１，地震＋津波２，水害３、土砂災害４</t>
    <rPh sb="0" eb="2">
      <t>ジシン</t>
    </rPh>
    <rPh sb="4" eb="6">
      <t>ジシン</t>
    </rPh>
    <rPh sb="7" eb="9">
      <t>ツナミ</t>
    </rPh>
    <rPh sb="11" eb="13">
      <t>スイガイ</t>
    </rPh>
    <rPh sb="15" eb="17">
      <t>ドシャ</t>
    </rPh>
    <rPh sb="17" eb="19">
      <t>サイガイ</t>
    </rPh>
    <phoneticPr fontId="2"/>
  </si>
  <si>
    <t>想定する災害により１～４を選択する。
※複数種類の災害を想定しているときは、このｴｸｾﾙを複写して種類ごとに計算する</t>
    <rPh sb="0" eb="2">
      <t>ソウテイ</t>
    </rPh>
    <rPh sb="4" eb="6">
      <t>サイガイ</t>
    </rPh>
    <rPh sb="13" eb="15">
      <t>センタク</t>
    </rPh>
    <rPh sb="20" eb="24">
      <t>フクスウシュルイ</t>
    </rPh>
    <rPh sb="25" eb="27">
      <t>サイガイ</t>
    </rPh>
    <rPh sb="28" eb="30">
      <t>ソウテイ</t>
    </rPh>
    <rPh sb="45" eb="47">
      <t>フクシャ</t>
    </rPh>
    <rPh sb="49" eb="51">
      <t>シュルイ</t>
    </rPh>
    <rPh sb="54" eb="56">
      <t>ケイサン</t>
    </rPh>
    <phoneticPr fontId="2"/>
  </si>
  <si>
    <t>家屋災害等</t>
    <rPh sb="0" eb="2">
      <t>カオク</t>
    </rPh>
    <rPh sb="2" eb="4">
      <t>サイガイ</t>
    </rPh>
    <rPh sb="4" eb="5">
      <t>トウ</t>
    </rPh>
    <phoneticPr fontId="2"/>
  </si>
  <si>
    <t>一部損壊</t>
    <rPh sb="0" eb="4">
      <t>イチブソンカイ</t>
    </rPh>
    <phoneticPr fontId="2"/>
  </si>
  <si>
    <t>非住家全壊</t>
    <rPh sb="0" eb="1">
      <t>ヒ</t>
    </rPh>
    <rPh sb="1" eb="3">
      <t>ジュウカ</t>
    </rPh>
    <rPh sb="3" eb="5">
      <t>ゼンカイ</t>
    </rPh>
    <phoneticPr fontId="2"/>
  </si>
  <si>
    <t>非住家半壊</t>
    <rPh sb="0" eb="1">
      <t>ヒ</t>
    </rPh>
    <rPh sb="1" eb="3">
      <t>ジュウカ</t>
    </rPh>
    <rPh sb="3" eb="5">
      <t>ハンカイ</t>
    </rPh>
    <phoneticPr fontId="2"/>
  </si>
  <si>
    <t>原単位</t>
    <rPh sb="0" eb="3">
      <t>ゲンタンイ</t>
    </rPh>
    <phoneticPr fontId="4"/>
  </si>
  <si>
    <t>ｃ</t>
    <phoneticPr fontId="2"/>
  </si>
  <si>
    <t>地震＋津波</t>
    <rPh sb="0" eb="2">
      <t>ジシン</t>
    </rPh>
    <rPh sb="3" eb="5">
      <t>ツナミ</t>
    </rPh>
    <phoneticPr fontId="2"/>
  </si>
  <si>
    <t>土砂災害</t>
    <rPh sb="0" eb="2">
      <t>ドシャ</t>
    </rPh>
    <rPh sb="2" eb="4">
      <t>サイガイ</t>
    </rPh>
    <phoneticPr fontId="2"/>
  </si>
  <si>
    <t>片付けごみ発生量</t>
    <rPh sb="0" eb="2">
      <t>カタヅ</t>
    </rPh>
    <rPh sb="5" eb="8">
      <t>ハッセイリョウ</t>
    </rPh>
    <phoneticPr fontId="2"/>
  </si>
  <si>
    <t>：計算結果</t>
    <rPh sb="1" eb="5">
      <t>ケイサンケッカ</t>
    </rPh>
    <phoneticPr fontId="2"/>
  </si>
  <si>
    <t>＞1000棟のとき</t>
    <rPh sb="5" eb="6">
      <t>トウ</t>
    </rPh>
    <phoneticPr fontId="2"/>
  </si>
  <si>
    <t>＜1000棟のとき</t>
    <rPh sb="5" eb="6">
      <t>トウ</t>
    </rPh>
    <phoneticPr fontId="2"/>
  </si>
  <si>
    <t>水害、土砂災害</t>
    <rPh sb="0" eb="2">
      <t>スイガイ</t>
    </rPh>
    <rPh sb="3" eb="7">
      <t>ドシャサイガイ</t>
    </rPh>
    <phoneticPr fontId="2"/>
  </si>
  <si>
    <t>地震、地震（津波）</t>
    <rPh sb="0" eb="2">
      <t>ジシン</t>
    </rPh>
    <rPh sb="3" eb="5">
      <t>ジシン</t>
    </rPh>
    <rPh sb="6" eb="8">
      <t>ツナミ</t>
    </rPh>
    <phoneticPr fontId="2"/>
  </si>
  <si>
    <t>　自市町村分年間処理量（実績）</t>
    <rPh sb="1" eb="2">
      <t>ジ</t>
    </rPh>
    <rPh sb="2" eb="5">
      <t>シチョウソン</t>
    </rPh>
    <rPh sb="5" eb="6">
      <t>ブン</t>
    </rPh>
    <rPh sb="6" eb="8">
      <t>ネンカン</t>
    </rPh>
    <rPh sb="11" eb="13">
      <t>ジッセキ</t>
    </rPh>
    <phoneticPr fontId="29"/>
  </si>
  <si>
    <t>　自市町村分割合（組合で決まっているとき）</t>
    <rPh sb="1" eb="2">
      <t>ジ</t>
    </rPh>
    <rPh sb="2" eb="5">
      <t>シチョウソン</t>
    </rPh>
    <rPh sb="5" eb="6">
      <t>ブン</t>
    </rPh>
    <rPh sb="6" eb="8">
      <t>ワリアイ</t>
    </rPh>
    <rPh sb="9" eb="10">
      <t>ク</t>
    </rPh>
    <rPh sb="10" eb="11">
      <t>ア</t>
    </rPh>
    <rPh sb="12" eb="13">
      <t>キ</t>
    </rPh>
    <phoneticPr fontId="29"/>
  </si>
  <si>
    <t>住家非住家全壊棟数の合計が１０棟未満のとき
　一律：水害900ｔ、その他の災害3,000ｔ</t>
    <rPh sb="23" eb="25">
      <t>イチリツ</t>
    </rPh>
    <rPh sb="26" eb="28">
      <t>スイガイ</t>
    </rPh>
    <rPh sb="35" eb="36">
      <t>タ</t>
    </rPh>
    <rPh sb="37" eb="39">
      <t>サイガイ</t>
    </rPh>
    <phoneticPr fontId="2"/>
  </si>
  <si>
    <t>A1</t>
    <phoneticPr fontId="2"/>
  </si>
  <si>
    <t>A2</t>
    <phoneticPr fontId="2"/>
  </si>
  <si>
    <t>r1</t>
    <phoneticPr fontId="2"/>
  </si>
  <si>
    <t>r2</t>
    <phoneticPr fontId="2"/>
  </si>
  <si>
    <t>木造床面積</t>
    <phoneticPr fontId="2"/>
  </si>
  <si>
    <t>非木造床面積</t>
    <phoneticPr fontId="2"/>
  </si>
  <si>
    <t>木造建物発生原単位</t>
    <phoneticPr fontId="2"/>
  </si>
  <si>
    <t>非木造建物発生原単位</t>
    <phoneticPr fontId="2"/>
  </si>
  <si>
    <t>解体棟数の構造内訳（木造）</t>
    <phoneticPr fontId="2"/>
  </si>
  <si>
    <t>解体棟数の構造内訳（非木造）</t>
    <phoneticPr fontId="2"/>
  </si>
  <si>
    <t>全壊建物解体率</t>
    <phoneticPr fontId="2"/>
  </si>
  <si>
    <t>CP</t>
    <phoneticPr fontId="2"/>
  </si>
  <si>
    <t>片付けごみ及び公物等量発生原単位</t>
    <phoneticPr fontId="2"/>
  </si>
  <si>
    <t>地震（津波）</t>
    <rPh sb="0" eb="2">
      <t>ジシン</t>
    </rPh>
    <rPh sb="3" eb="5">
      <t>ツナミ</t>
    </rPh>
    <phoneticPr fontId="2"/>
  </si>
  <si>
    <t>解体率</t>
    <rPh sb="0" eb="3">
      <t>カイタイリツ</t>
    </rPh>
    <phoneticPr fontId="2"/>
  </si>
  <si>
    <t>公物</t>
    <rPh sb="0" eb="2">
      <t>コウブツ</t>
    </rPh>
    <phoneticPr fontId="2"/>
  </si>
  <si>
    <t>半壊建物解体率※</t>
    <phoneticPr fontId="2"/>
  </si>
  <si>
    <t>ｍ2/棟</t>
    <rPh sb="3" eb="4">
      <t>トウ</t>
    </rPh>
    <phoneticPr fontId="2"/>
  </si>
  <si>
    <t>ｔ/ｍ2</t>
    <phoneticPr fontId="2"/>
  </si>
  <si>
    <t>北海道</t>
    <rPh sb="0" eb="3">
      <t>ホッカイドウ</t>
    </rPh>
    <phoneticPr fontId="2"/>
  </si>
  <si>
    <t>ｔ/棟</t>
    <rPh sb="2" eb="3">
      <t>トウ</t>
    </rPh>
    <phoneticPr fontId="2"/>
  </si>
  <si>
    <t>全壊＋半壊＜10棟のとき</t>
    <rPh sb="0" eb="2">
      <t>ゼンカイ</t>
    </rPh>
    <rPh sb="3" eb="5">
      <t>ハンカイ</t>
    </rPh>
    <rPh sb="8" eb="9">
      <t>トウ</t>
    </rPh>
    <phoneticPr fontId="2"/>
  </si>
  <si>
    <t>災害廃棄物発生量</t>
    <rPh sb="0" eb="8">
      <t>サイガイハイキブツハッセイリョウ</t>
    </rPh>
    <phoneticPr fontId="2"/>
  </si>
  <si>
    <t>＜10棟のとき</t>
    <rPh sb="3" eb="4">
      <t>トウ</t>
    </rPh>
    <phoneticPr fontId="2"/>
  </si>
  <si>
    <t>X1＋X2</t>
    <phoneticPr fontId="2"/>
  </si>
  <si>
    <t>X3＋X4</t>
    <phoneticPr fontId="2"/>
  </si>
  <si>
    <t>解体廃棄物等発生量</t>
    <rPh sb="0" eb="6">
      <t>カイタイハイキブツトウ</t>
    </rPh>
    <rPh sb="6" eb="9">
      <t>ハッセイリョウ</t>
    </rPh>
    <phoneticPr fontId="2"/>
  </si>
  <si>
    <t>■解体廃棄物等発生量</t>
    <rPh sb="1" eb="7">
      <t>カイタイハイキブツトウ</t>
    </rPh>
    <rPh sb="7" eb="10">
      <t>ハッセイリョウ</t>
    </rPh>
    <phoneticPr fontId="2"/>
  </si>
  <si>
    <t>廃棄物組成</t>
    <rPh sb="0" eb="5">
      <t>ハイキブツソセイ</t>
    </rPh>
    <phoneticPr fontId="2"/>
  </si>
  <si>
    <t>熊本地震</t>
    <rPh sb="0" eb="4">
      <t>クマモトジシン</t>
    </rPh>
    <phoneticPr fontId="2"/>
  </si>
  <si>
    <t>東日本</t>
    <rPh sb="0" eb="3">
      <t>ヒガシニホン</t>
    </rPh>
    <phoneticPr fontId="2"/>
  </si>
  <si>
    <t>岡山豪雨</t>
    <rPh sb="0" eb="2">
      <t>オカヤマ</t>
    </rPh>
    <rPh sb="2" eb="4">
      <t>ゴウウ</t>
    </rPh>
    <phoneticPr fontId="2"/>
  </si>
  <si>
    <t>広島豪雨</t>
    <rPh sb="0" eb="2">
      <t>ヒロシマ</t>
    </rPh>
    <rPh sb="2" eb="4">
      <t>ゴウウ</t>
    </rPh>
    <phoneticPr fontId="2"/>
  </si>
  <si>
    <t>出典</t>
    <rPh sb="0" eb="2">
      <t>シュッテン</t>
    </rPh>
    <phoneticPr fontId="2"/>
  </si>
  <si>
    <t>津波堆積物</t>
    <rPh sb="0" eb="5">
      <t>ツナミタイセキブツ</t>
    </rPh>
    <phoneticPr fontId="2"/>
  </si>
  <si>
    <t>災害廃棄物の種類別発生量(t)＝災害廃棄物の発生量(t)×組成割合(%)</t>
    <rPh sb="0" eb="5">
      <t>サイガイハイキブツ</t>
    </rPh>
    <rPh sb="6" eb="12">
      <t>シュルイベツハッセイリョウ</t>
    </rPh>
    <rPh sb="16" eb="21">
      <t>サイガイハイキブツ</t>
    </rPh>
    <rPh sb="22" eb="25">
      <t>ハッセイリョウ</t>
    </rPh>
    <rPh sb="29" eb="33">
      <t>ソセイワリアイ</t>
    </rPh>
    <phoneticPr fontId="2"/>
  </si>
  <si>
    <t>津波堆積物の発生量＝津波浸水面積（ｍ２）×0.024（ｔ/ｍ２）</t>
    <rPh sb="0" eb="5">
      <t>ツナミタイセキブツ</t>
    </rPh>
    <rPh sb="6" eb="9">
      <t>ハッセイリョウ</t>
    </rPh>
    <rPh sb="10" eb="14">
      <t>ツナミシンスイ</t>
    </rPh>
    <rPh sb="14" eb="16">
      <t>メンセキ</t>
    </rPh>
    <phoneticPr fontId="2"/>
  </si>
  <si>
    <t>災害廃棄物対策指針技術資料18-2</t>
    <rPh sb="0" eb="9">
      <t>サイガイハイキブツタイサクシシン</t>
    </rPh>
    <rPh sb="9" eb="13">
      <t>ギジュツシリョウ</t>
    </rPh>
    <phoneticPr fontId="4"/>
  </si>
  <si>
    <t>見かけ比重</t>
    <phoneticPr fontId="4"/>
  </si>
  <si>
    <t>災害廃棄物対策指針技術資料18-2</t>
    <phoneticPr fontId="4"/>
  </si>
  <si>
    <t>積上げ高さ</t>
    <rPh sb="0" eb="2">
      <t>ツミア</t>
    </rPh>
    <rPh sb="3" eb="4">
      <t>タカ</t>
    </rPh>
    <phoneticPr fontId="4"/>
  </si>
  <si>
    <t>ｍ</t>
    <phoneticPr fontId="4"/>
  </si>
  <si>
    <t>処理期間</t>
    <rPh sb="0" eb="4">
      <t>ショリキカン</t>
    </rPh>
    <phoneticPr fontId="4"/>
  </si>
  <si>
    <t>集積量(t)</t>
    <rPh sb="0" eb="2">
      <t>シュウセキ</t>
    </rPh>
    <rPh sb="2" eb="3">
      <t>リョウ</t>
    </rPh>
    <phoneticPr fontId="4"/>
  </si>
  <si>
    <r>
      <t>面 積＝集積量÷見かけ比重÷積み上げ高さ×（１＋作業スペース割合）
　集積量＝災害廃棄物の発生量－処理量
　※</t>
    </r>
    <r>
      <rPr>
        <sz val="11"/>
        <color rgb="FFFF0000"/>
        <rFont val="HGPｺﾞｼｯｸM"/>
        <family val="3"/>
        <charset val="128"/>
      </rPr>
      <t>搬入しながら搬出しない場合は、処理量＝０とする。</t>
    </r>
    <r>
      <rPr>
        <sz val="11"/>
        <color rgb="FF000000"/>
        <rFont val="HGPｺﾞｼｯｸM"/>
        <family val="3"/>
        <charset val="128"/>
      </rPr>
      <t xml:space="preserve">
　　処理量＝災害廃棄物の発生量÷処理期間
　積み上げ高さ ：５ｍ以下が望ましい。
　作業スペース割合：100％</t>
    </r>
    <rPh sb="55" eb="57">
      <t>ハンニュウ</t>
    </rPh>
    <rPh sb="61" eb="63">
      <t>ハンシュツ</t>
    </rPh>
    <rPh sb="66" eb="68">
      <t>バアイ</t>
    </rPh>
    <rPh sb="70" eb="73">
      <t>ショリリョウ</t>
    </rPh>
    <phoneticPr fontId="2"/>
  </si>
  <si>
    <t>搬入搬出を同時に行わない</t>
    <phoneticPr fontId="4"/>
  </si>
  <si>
    <t>出典：災害廃棄物対策指針　技術資料【技14-3】</t>
    <phoneticPr fontId="2"/>
  </si>
  <si>
    <t>L/日</t>
    <rPh sb="2" eb="3">
      <t>ニチ</t>
    </rPh>
    <phoneticPr fontId="2"/>
  </si>
  <si>
    <t>基</t>
    <rPh sb="0" eb="1">
      <t>キ</t>
    </rPh>
    <phoneticPr fontId="2"/>
  </si>
  <si>
    <t>ｋL/日</t>
    <rPh sb="3" eb="4">
      <t>ニチ</t>
    </rPh>
    <phoneticPr fontId="2"/>
  </si>
  <si>
    <t>ｋL/年</t>
    <rPh sb="3" eb="4">
      <t>ネン</t>
    </rPh>
    <phoneticPr fontId="2"/>
  </si>
  <si>
    <t>ｋL/年</t>
    <phoneticPr fontId="2"/>
  </si>
  <si>
    <t>ｋL/年</t>
    <rPh sb="2" eb="4">
      <t>･ネン</t>
    </rPh>
    <phoneticPr fontId="2"/>
  </si>
  <si>
    <t>年間し尿回収必要量</t>
    <rPh sb="0" eb="2">
      <t>ネンカン</t>
    </rPh>
    <rPh sb="3" eb="4">
      <t>ニョウ</t>
    </rPh>
    <rPh sb="4" eb="9">
      <t>カイシュウヒツヨウリョウ</t>
    </rPh>
    <phoneticPr fontId="2"/>
  </si>
  <si>
    <t>仮設トイレ＋汲取りのし尿発生量(L/日)</t>
    <rPh sb="0" eb="2">
      <t>カセツ</t>
    </rPh>
    <rPh sb="6" eb="8">
      <t>クミト</t>
    </rPh>
    <rPh sb="11" eb="12">
      <t>ニョウ</t>
    </rPh>
    <rPh sb="12" eb="14">
      <t>ハッセイ</t>
    </rPh>
    <rPh sb="14" eb="15">
      <t>リョウ</t>
    </rPh>
    <rPh sb="18" eb="19">
      <t>ニチ</t>
    </rPh>
    <phoneticPr fontId="2"/>
  </si>
  <si>
    <t>避難所ごみの発生量＝避難者数（人）×発生原単位（ｇ/人・日）</t>
    <phoneticPr fontId="2"/>
  </si>
  <si>
    <t>ｔ/日</t>
    <rPh sb="2" eb="3">
      <t>ニチ</t>
    </rPh>
    <phoneticPr fontId="2"/>
  </si>
  <si>
    <t>地震１，地震＋津波２，水害３、土砂災害４</t>
    <phoneticPr fontId="2"/>
  </si>
  <si>
    <t>し尿処理量（ｋL/年）</t>
    <rPh sb="1" eb="2">
      <t>ニョウ</t>
    </rPh>
    <rPh sb="2" eb="5">
      <t>ショリリョウ</t>
    </rPh>
    <rPh sb="9" eb="10">
      <t>ネン</t>
    </rPh>
    <phoneticPr fontId="2"/>
  </si>
  <si>
    <t>不燃物＋燃え殻</t>
    <rPh sb="0" eb="3">
      <t>フネンブツ</t>
    </rPh>
    <rPh sb="4" eb="5">
      <t>モ</t>
    </rPh>
    <rPh sb="6" eb="7">
      <t>ガラ</t>
    </rPh>
    <phoneticPr fontId="2"/>
  </si>
  <si>
    <t>し尿(ｋL/処理期間）</t>
    <rPh sb="1" eb="2">
      <t>ニョウ</t>
    </rPh>
    <rPh sb="6" eb="10">
      <t>ショリキカン</t>
    </rPh>
    <phoneticPr fontId="2"/>
  </si>
  <si>
    <t>平常時施設</t>
    <rPh sb="0" eb="3">
      <t>ヘイジョウジ</t>
    </rPh>
    <rPh sb="3" eb="5">
      <t>シセツ</t>
    </rPh>
    <phoneticPr fontId="2"/>
  </si>
  <si>
    <t>し尿（kL)</t>
    <rPh sb="1" eb="2">
      <t>ニョウ</t>
    </rPh>
    <phoneticPr fontId="2"/>
  </si>
  <si>
    <t>し尿処理施設（kL)</t>
    <rPh sb="1" eb="2">
      <t>ニョウ</t>
    </rPh>
    <rPh sb="2" eb="6">
      <t>ショリシセツ</t>
    </rPh>
    <phoneticPr fontId="2"/>
  </si>
  <si>
    <t>：入力セル</t>
    <rPh sb="1" eb="3">
      <t>ニュウリョク</t>
    </rPh>
    <phoneticPr fontId="2"/>
  </si>
  <si>
    <t>：原単位等</t>
    <rPh sb="1" eb="5">
      <t>ゲンタンイトウ</t>
    </rPh>
    <phoneticPr fontId="2"/>
  </si>
  <si>
    <t>該当に１が表示される</t>
    <rPh sb="0" eb="2">
      <t>ガイトウ</t>
    </rPh>
    <rPh sb="5" eb="7">
      <t>ヒョウジ</t>
    </rPh>
    <phoneticPr fontId="2"/>
  </si>
  <si>
    <t>L/人・日</t>
    <rPh sb="2" eb="3">
      <t>ニン</t>
    </rPh>
    <rPh sb="4" eb="5">
      <t>ニチ</t>
    </rPh>
    <phoneticPr fontId="2"/>
  </si>
  <si>
    <t>L</t>
    <phoneticPr fontId="2"/>
  </si>
  <si>
    <t>g/人・日</t>
    <rPh sb="2" eb="3">
      <t>ニン</t>
    </rPh>
    <rPh sb="4" eb="5">
      <t>ニチ</t>
    </rPh>
    <phoneticPr fontId="2"/>
  </si>
  <si>
    <t>一律ｔ</t>
    <rPh sb="0" eb="2">
      <t>イチリツ</t>
    </rPh>
    <phoneticPr fontId="2"/>
  </si>
  <si>
    <t>仮置場必要面積(ha)</t>
    <rPh sb="0" eb="2">
      <t>カリオ</t>
    </rPh>
    <rPh sb="2" eb="3">
      <t>バ</t>
    </rPh>
    <rPh sb="3" eb="5">
      <t>ヒツヨウ</t>
    </rPh>
    <rPh sb="5" eb="7">
      <t>メンセキ</t>
    </rPh>
    <phoneticPr fontId="4"/>
  </si>
  <si>
    <t>片付けごみ</t>
    <rPh sb="0" eb="2">
      <t>カタヅ</t>
    </rPh>
    <phoneticPr fontId="2"/>
  </si>
  <si>
    <t>行わない場合は0を入力。行う場合は「－」とする。</t>
    <rPh sb="0" eb="1">
      <t>オコナ</t>
    </rPh>
    <rPh sb="4" eb="6">
      <t>バアイ</t>
    </rPh>
    <rPh sb="9" eb="11">
      <t>ニュウリョク</t>
    </rPh>
    <rPh sb="12" eb="13">
      <t>オコナ</t>
    </rPh>
    <rPh sb="14" eb="16">
      <t>バアイ</t>
    </rPh>
    <phoneticPr fontId="4"/>
  </si>
  <si>
    <t>片付けごみ</t>
    <rPh sb="0" eb="2">
      <t>カタヅ</t>
    </rPh>
    <phoneticPr fontId="4"/>
  </si>
  <si>
    <t>平常時施設能力</t>
    <rPh sb="0" eb="5">
      <t>ヘイジョウジシセツ</t>
    </rPh>
    <rPh sb="5" eb="7">
      <t>ノウリョク</t>
    </rPh>
    <phoneticPr fontId="2"/>
  </si>
  <si>
    <t>燃え殻発生量（20%)</t>
    <rPh sb="0" eb="1">
      <t>モ</t>
    </rPh>
    <rPh sb="2" eb="3">
      <t>ガラ</t>
    </rPh>
    <rPh sb="3" eb="6">
      <t>ハッセイリョウ</t>
    </rPh>
    <phoneticPr fontId="2"/>
  </si>
  <si>
    <t>必要面積</t>
    <rPh sb="0" eb="2">
      <t>ヒツヨウ</t>
    </rPh>
    <rPh sb="2" eb="4">
      <t>メンセキ</t>
    </rPh>
    <phoneticPr fontId="2"/>
  </si>
  <si>
    <t>被害総数が1,000棟未満のとき
一律：水害、土砂災害500ｔ、地震、地震（津波）700ｔ</t>
    <rPh sb="0" eb="4">
      <t>ヒガイソウスウ</t>
    </rPh>
    <rPh sb="23" eb="25">
      <t>ドシャ</t>
    </rPh>
    <rPh sb="25" eb="27">
      <t>サイガイ</t>
    </rPh>
    <rPh sb="32" eb="34">
      <t>ジシン</t>
    </rPh>
    <rPh sb="35" eb="37">
      <t>ジシン</t>
    </rPh>
    <rPh sb="38" eb="40">
      <t>ツナミ</t>
    </rPh>
    <phoneticPr fontId="2"/>
  </si>
  <si>
    <t>■片付けごみ発生量算定</t>
    <rPh sb="1" eb="3">
      <t>カタヅ</t>
    </rPh>
    <rPh sb="6" eb="8">
      <t>ハッセイ</t>
    </rPh>
    <rPh sb="8" eb="9">
      <t>リョウ</t>
    </rPh>
    <rPh sb="9" eb="11">
      <t>サンテイ</t>
    </rPh>
    <phoneticPr fontId="2"/>
  </si>
  <si>
    <t>-</t>
    <phoneticPr fontId="4"/>
  </si>
  <si>
    <t>処理可能量
(t/処理期間)</t>
    <rPh sb="9" eb="13">
      <t>ショリキカン</t>
    </rPh>
    <phoneticPr fontId="4"/>
  </si>
  <si>
    <t>処理可能量
（自市町村分）
(t/処理期間)</t>
    <rPh sb="7" eb="8">
      <t>ジ</t>
    </rPh>
    <rPh sb="8" eb="11">
      <t>シチョウソン</t>
    </rPh>
    <rPh sb="11" eb="12">
      <t>ブン</t>
    </rPh>
    <rPh sb="17" eb="21">
      <t>ショリキカン</t>
    </rPh>
    <phoneticPr fontId="4"/>
  </si>
  <si>
    <t>ｔ（覆土考慮）</t>
    <rPh sb="2" eb="4">
      <t>フクド</t>
    </rPh>
    <rPh sb="4" eb="6">
      <t>コウリョ</t>
    </rPh>
    <phoneticPr fontId="2"/>
  </si>
  <si>
    <t xml:space="preserve">10年後残余容量 </t>
    <phoneticPr fontId="29"/>
  </si>
  <si>
    <t>羅臼町</t>
  </si>
  <si>
    <t>標津町</t>
  </si>
  <si>
    <t>中標津町</t>
  </si>
  <si>
    <t>別海町</t>
  </si>
  <si>
    <t>白糠町</t>
  </si>
  <si>
    <t>鶴居村</t>
  </si>
  <si>
    <t>弟子屈町</t>
  </si>
  <si>
    <t>標茶町</t>
  </si>
  <si>
    <t>浜中町</t>
  </si>
  <si>
    <t>厚岸町</t>
  </si>
  <si>
    <t>釧路町</t>
  </si>
  <si>
    <t>浦幌町</t>
  </si>
  <si>
    <t>陸別町</t>
  </si>
  <si>
    <t>足寄町</t>
  </si>
  <si>
    <t>本別町</t>
  </si>
  <si>
    <t>豊頃町</t>
  </si>
  <si>
    <t>池田町</t>
  </si>
  <si>
    <t>幕別町</t>
  </si>
  <si>
    <t>広尾町</t>
  </si>
  <si>
    <t>大樹町</t>
  </si>
  <si>
    <t>更別村</t>
  </si>
  <si>
    <t>中札内村</t>
  </si>
  <si>
    <t>芽室町</t>
  </si>
  <si>
    <t>清水町</t>
  </si>
  <si>
    <t>新得町</t>
  </si>
  <si>
    <t>鹿追町</t>
  </si>
  <si>
    <t>上士幌町</t>
  </si>
  <si>
    <t>士幌町</t>
  </si>
  <si>
    <t>音更町</t>
  </si>
  <si>
    <t>新ひだか町</t>
  </si>
  <si>
    <t>えりも町</t>
  </si>
  <si>
    <t>様似町</t>
  </si>
  <si>
    <t>浦河町</t>
  </si>
  <si>
    <t>新冠町</t>
  </si>
  <si>
    <t>平取町</t>
  </si>
  <si>
    <t>日高町</t>
  </si>
  <si>
    <t>むかわ町</t>
  </si>
  <si>
    <t>安平町</t>
  </si>
  <si>
    <t>洞爺湖町</t>
  </si>
  <si>
    <t>厚真町</t>
  </si>
  <si>
    <t>白老町</t>
  </si>
  <si>
    <t>壮瞥町</t>
  </si>
  <si>
    <t>豊浦町</t>
  </si>
  <si>
    <t>大空町</t>
  </si>
  <si>
    <t>雄武町</t>
  </si>
  <si>
    <t>西興部村</t>
  </si>
  <si>
    <t>興部町</t>
  </si>
  <si>
    <t>滝上町</t>
  </si>
  <si>
    <t>湧別町</t>
  </si>
  <si>
    <t>遠軽町</t>
  </si>
  <si>
    <t>佐呂間町</t>
  </si>
  <si>
    <t>置戸町</t>
  </si>
  <si>
    <t>訓子府町</t>
  </si>
  <si>
    <t>小清水町</t>
  </si>
  <si>
    <t>清里町</t>
  </si>
  <si>
    <t>斜里町</t>
  </si>
  <si>
    <t>津別町</t>
  </si>
  <si>
    <t>美幌町</t>
  </si>
  <si>
    <t>幌延町</t>
  </si>
  <si>
    <t>利尻富士町</t>
  </si>
  <si>
    <t>利尻町</t>
  </si>
  <si>
    <t>礼文町</t>
  </si>
  <si>
    <t>豊富町</t>
  </si>
  <si>
    <t>枝幸町</t>
  </si>
  <si>
    <t>中頓別町</t>
  </si>
  <si>
    <t>浜頓別町</t>
  </si>
  <si>
    <t>猿払村</t>
  </si>
  <si>
    <t>天塩町</t>
  </si>
  <si>
    <t>遠別町</t>
  </si>
  <si>
    <t>初山別村</t>
  </si>
  <si>
    <t>羽幌町</t>
  </si>
  <si>
    <t>苫前町</t>
  </si>
  <si>
    <t>小平町</t>
  </si>
  <si>
    <t>増毛町</t>
  </si>
  <si>
    <t>幌加内町</t>
  </si>
  <si>
    <t>中川町</t>
  </si>
  <si>
    <t>音威子府村</t>
  </si>
  <si>
    <t>美深町</t>
  </si>
  <si>
    <t>下川町</t>
  </si>
  <si>
    <t>剣淵町</t>
  </si>
  <si>
    <t>和寒町</t>
  </si>
  <si>
    <t>占冠村</t>
  </si>
  <si>
    <t>南富良野町</t>
  </si>
  <si>
    <t>中富良野町</t>
  </si>
  <si>
    <t>上富良野町</t>
  </si>
  <si>
    <t>美瑛町</t>
  </si>
  <si>
    <t>東川町</t>
  </si>
  <si>
    <t>上川町</t>
  </si>
  <si>
    <t>愛別町</t>
  </si>
  <si>
    <t>比布町</t>
  </si>
  <si>
    <t>当麻町</t>
  </si>
  <si>
    <t>東神楽町</t>
  </si>
  <si>
    <t>鷹栖町</t>
  </si>
  <si>
    <t>沼田町</t>
  </si>
  <si>
    <t>北竜町</t>
  </si>
  <si>
    <t>雨竜町</t>
  </si>
  <si>
    <t>秩父別町</t>
  </si>
  <si>
    <t>妹背牛町</t>
  </si>
  <si>
    <t>新十津川町</t>
  </si>
  <si>
    <t>浦臼町</t>
  </si>
  <si>
    <t>月形町</t>
  </si>
  <si>
    <t>栗山町</t>
  </si>
  <si>
    <t>長沼町</t>
  </si>
  <si>
    <t>由仁町</t>
  </si>
  <si>
    <t>上砂川町</t>
  </si>
  <si>
    <t>奈井江町</t>
  </si>
  <si>
    <t>南幌町</t>
  </si>
  <si>
    <t>赤井川村</t>
  </si>
  <si>
    <t>余市町</t>
  </si>
  <si>
    <t>仁木町</t>
  </si>
  <si>
    <t>古平町</t>
  </si>
  <si>
    <t>積丹町</t>
  </si>
  <si>
    <t>神恵内村</t>
  </si>
  <si>
    <t>泊村</t>
  </si>
  <si>
    <t>岩内町</t>
  </si>
  <si>
    <t>共和町</t>
  </si>
  <si>
    <t>倶知安町</t>
  </si>
  <si>
    <t>京極町</t>
  </si>
  <si>
    <t>喜茂別町</t>
  </si>
  <si>
    <t>留寿都村</t>
  </si>
  <si>
    <t>真狩村</t>
  </si>
  <si>
    <t>ニセコ町</t>
  </si>
  <si>
    <t>蘭越町</t>
  </si>
  <si>
    <t>黒松内町</t>
  </si>
  <si>
    <t>寿都町</t>
  </si>
  <si>
    <t>島牧村</t>
  </si>
  <si>
    <t>せたな町</t>
  </si>
  <si>
    <t>今金町</t>
  </si>
  <si>
    <t>奥尻町</t>
  </si>
  <si>
    <t>乙部町</t>
  </si>
  <si>
    <t>厚沢部町</t>
  </si>
  <si>
    <t>上ノ国町</t>
  </si>
  <si>
    <t>江差町</t>
  </si>
  <si>
    <t>長万部町</t>
  </si>
  <si>
    <t>八雲町</t>
  </si>
  <si>
    <t>森町</t>
  </si>
  <si>
    <t>鹿部町</t>
  </si>
  <si>
    <t>七飯町</t>
  </si>
  <si>
    <t>木古内町</t>
  </si>
  <si>
    <t>知内町</t>
  </si>
  <si>
    <t>福島町</t>
  </si>
  <si>
    <t>松前町</t>
  </si>
  <si>
    <t>新篠津村</t>
  </si>
  <si>
    <t>当別町</t>
  </si>
  <si>
    <t>北斗市</t>
  </si>
  <si>
    <t>石狩市</t>
  </si>
  <si>
    <t>北広島市</t>
  </si>
  <si>
    <t>伊達市</t>
  </si>
  <si>
    <t>恵庭市</t>
  </si>
  <si>
    <t>登別市</t>
  </si>
  <si>
    <t>富良野市</t>
  </si>
  <si>
    <t>深川市</t>
  </si>
  <si>
    <t>歌志内市</t>
  </si>
  <si>
    <t>砂川市</t>
  </si>
  <si>
    <t>滝川市</t>
  </si>
  <si>
    <t>千歳市</t>
  </si>
  <si>
    <t>根室市</t>
  </si>
  <si>
    <t>三笠市</t>
  </si>
  <si>
    <t>名寄市</t>
  </si>
  <si>
    <t>士別市</t>
  </si>
  <si>
    <t>紋別市</t>
  </si>
  <si>
    <t>赤平市</t>
  </si>
  <si>
    <t>江別市</t>
  </si>
  <si>
    <t>芦別市</t>
  </si>
  <si>
    <t>美唄市</t>
  </si>
  <si>
    <t>稚内市</t>
  </si>
  <si>
    <t>苫小牧市</t>
  </si>
  <si>
    <t>留萌市</t>
  </si>
  <si>
    <t>網走市</t>
  </si>
  <si>
    <t>岩見沢市</t>
  </si>
  <si>
    <t>夕張市</t>
  </si>
  <si>
    <t>北見市</t>
  </si>
  <si>
    <t>帯広市</t>
  </si>
  <si>
    <t>釧路市</t>
  </si>
  <si>
    <t>室蘭市</t>
  </si>
  <si>
    <t>旭川市</t>
  </si>
  <si>
    <t>小樽市</t>
  </si>
  <si>
    <t>函館市</t>
  </si>
  <si>
    <t>札幌市</t>
  </si>
  <si>
    <t>以外</t>
    <rPh sb="0" eb="2">
      <t>イガイ</t>
    </rPh>
    <phoneticPr fontId="2"/>
  </si>
  <si>
    <t>木造</t>
    <rPh sb="0" eb="2">
      <t>モクゾウ</t>
    </rPh>
    <phoneticPr fontId="2"/>
  </si>
  <si>
    <t>市町村</t>
    <rPh sb="0" eb="3">
      <t>シチョウソン</t>
    </rPh>
    <phoneticPr fontId="2"/>
  </si>
  <si>
    <t>片付けごみの推計（技14-2）
（住家全壊＋住家半壊＋住家一部損壊＋床上浸水＋床下浸水＋非住家全壊＋非住家半壊）×ｃ
ｃ：2.5 t/棟</t>
    <rPh sb="0" eb="2">
      <t>カタヅ</t>
    </rPh>
    <rPh sb="6" eb="8">
      <t>スイケイ</t>
    </rPh>
    <rPh sb="9" eb="10">
      <t>ギ</t>
    </rPh>
    <rPh sb="17" eb="19">
      <t>ジュウカ</t>
    </rPh>
    <rPh sb="19" eb="21">
      <t>ゼンカイ</t>
    </rPh>
    <rPh sb="22" eb="24">
      <t>ジュウカ</t>
    </rPh>
    <rPh sb="24" eb="26">
      <t>ハンカイ</t>
    </rPh>
    <rPh sb="27" eb="29">
      <t>ジュウカ</t>
    </rPh>
    <rPh sb="29" eb="33">
      <t>イチブソンカイ</t>
    </rPh>
    <rPh sb="34" eb="38">
      <t>ユカウエシンスイ</t>
    </rPh>
    <rPh sb="39" eb="43">
      <t>ユカシタシンスイ</t>
    </rPh>
    <rPh sb="44" eb="49">
      <t>ヒジュウカゼンカイ</t>
    </rPh>
    <rPh sb="50" eb="53">
      <t>ヒジュウカ</t>
    </rPh>
    <rPh sb="53" eb="55">
      <t>ハンカイ</t>
    </rPh>
    <rPh sb="67" eb="68">
      <t>トウ</t>
    </rPh>
    <phoneticPr fontId="2"/>
  </si>
  <si>
    <t>被害棟数＜1000</t>
    <rPh sb="0" eb="2">
      <t>ヒガイ</t>
    </rPh>
    <rPh sb="2" eb="4">
      <t>トウスウ</t>
    </rPh>
    <phoneticPr fontId="2"/>
  </si>
  <si>
    <t>木造焼失</t>
    <rPh sb="0" eb="2">
      <t>モクゾウ</t>
    </rPh>
    <rPh sb="2" eb="4">
      <t>ショウシツ</t>
    </rPh>
    <phoneticPr fontId="2"/>
  </si>
  <si>
    <t>非木造焼失</t>
    <rPh sb="0" eb="1">
      <t>ヒ</t>
    </rPh>
    <rPh sb="1" eb="3">
      <t>モクゾウ</t>
    </rPh>
    <rPh sb="3" eb="5">
      <t>ショウシツ</t>
    </rPh>
    <phoneticPr fontId="2"/>
  </si>
  <si>
    <t>＞10棟のとき（焼失含む）</t>
    <rPh sb="3" eb="4">
      <t>トウ</t>
    </rPh>
    <rPh sb="8" eb="10">
      <t>ショウシツ</t>
    </rPh>
    <rPh sb="10" eb="11">
      <t>フク</t>
    </rPh>
    <phoneticPr fontId="2"/>
  </si>
  <si>
    <t>災害廃棄物の種類別発生量（片付けごみを含む）</t>
    <rPh sb="0" eb="5">
      <t>サイガイハイキブツ</t>
    </rPh>
    <rPh sb="6" eb="8">
      <t>シュルイ</t>
    </rPh>
    <rPh sb="8" eb="9">
      <t>ベツ</t>
    </rPh>
    <rPh sb="9" eb="12">
      <t>ハッセイリョウ</t>
    </rPh>
    <rPh sb="13" eb="15">
      <t>カタヅ</t>
    </rPh>
    <rPh sb="19" eb="20">
      <t>フク</t>
    </rPh>
    <phoneticPr fontId="2"/>
  </si>
  <si>
    <t>地震（揺れ）</t>
    <rPh sb="0" eb="2">
      <t>ジシン</t>
    </rPh>
    <rPh sb="3" eb="4">
      <t>ユ</t>
    </rPh>
    <phoneticPr fontId="2"/>
  </si>
  <si>
    <t>避難所における仮設トイレ必要人数</t>
    <rPh sb="0" eb="3">
      <t>ヒナンジョ</t>
    </rPh>
    <rPh sb="7" eb="9">
      <t>カセツ</t>
    </rPh>
    <rPh sb="12" eb="14">
      <t>ヒツヨウ</t>
    </rPh>
    <rPh sb="14" eb="15">
      <t>ニン</t>
    </rPh>
    <rPh sb="15" eb="16">
      <t>スウ</t>
    </rPh>
    <phoneticPr fontId="4"/>
  </si>
  <si>
    <t>断水による仮設トイレ必要人数</t>
    <rPh sb="0" eb="2">
      <t>ダンスイ</t>
    </rPh>
    <rPh sb="5" eb="7">
      <t>カセツ</t>
    </rPh>
    <rPh sb="10" eb="12">
      <t>ヒツヨウ</t>
    </rPh>
    <rPh sb="12" eb="13">
      <t>ニン</t>
    </rPh>
    <rPh sb="13" eb="14">
      <t>スウ</t>
    </rPh>
    <phoneticPr fontId="4"/>
  </si>
  <si>
    <t>仮設トイレ必要人数(人)</t>
    <rPh sb="0" eb="2">
      <t>カセツ</t>
    </rPh>
    <rPh sb="5" eb="7">
      <t>ヒツヨウ</t>
    </rPh>
    <rPh sb="7" eb="9">
      <t>ニンズウ</t>
    </rPh>
    <rPh sb="10" eb="11">
      <t>ニン</t>
    </rPh>
    <phoneticPr fontId="4"/>
  </si>
  <si>
    <t>仮設トイレのし尿発生量(L/日)</t>
    <phoneticPr fontId="2"/>
  </si>
  <si>
    <t>a1（木造・焼失）</t>
    <rPh sb="3" eb="5">
      <t>モクゾウ</t>
    </rPh>
    <rPh sb="6" eb="8">
      <t>ショウシツ</t>
    </rPh>
    <phoneticPr fontId="2"/>
  </si>
  <si>
    <t>a2（非木造・焼失）</t>
    <rPh sb="3" eb="4">
      <t>ヒ</t>
    </rPh>
    <rPh sb="4" eb="6">
      <t>モクゾウ</t>
    </rPh>
    <rPh sb="7" eb="9">
      <t>ショウシツ</t>
    </rPh>
    <phoneticPr fontId="2"/>
  </si>
  <si>
    <r>
      <t>※市町村が半壊建物の解体廃棄物を</t>
    </r>
    <r>
      <rPr>
        <sz val="11"/>
        <color rgb="FFFF0000"/>
        <rFont val="HGPｺﾞｼｯｸM"/>
        <family val="3"/>
        <charset val="128"/>
      </rPr>
      <t>処理しない場合</t>
    </r>
    <r>
      <rPr>
        <sz val="11"/>
        <color rgb="FF000000"/>
        <rFont val="HGPｺﾞｼｯｸM"/>
        <family val="3"/>
        <charset val="128"/>
      </rPr>
      <t>は半壊建物解体率をゼロに設定するなど実態に合わせて半壊建物解体率を修正することとする。</t>
    </r>
    <phoneticPr fontId="2"/>
  </si>
  <si>
    <t>焼失による解体廃棄物</t>
    <rPh sb="0" eb="2">
      <t>ショウシツ</t>
    </rPh>
    <rPh sb="5" eb="7">
      <t>カイタイ</t>
    </rPh>
    <rPh sb="7" eb="10">
      <t>ハイキブツ</t>
    </rPh>
    <phoneticPr fontId="2"/>
  </si>
  <si>
    <t>自市町村分の年間処理能力-実績（t/年度）</t>
    <phoneticPr fontId="2"/>
  </si>
  <si>
    <t>処理可能量
(全体）
(t/処理期間)</t>
    <rPh sb="7" eb="9">
      <t>ゼンタイ</t>
    </rPh>
    <phoneticPr fontId="4"/>
  </si>
  <si>
    <t>シナリオ
設定</t>
    <rPh sb="5" eb="7">
      <t>セッテイ</t>
    </rPh>
    <phoneticPr fontId="4"/>
  </si>
  <si>
    <t>処理可能量
(自市町村分）
(t/処理期間)</t>
    <rPh sb="7" eb="8">
      <t>ジ</t>
    </rPh>
    <rPh sb="8" eb="11">
      <t>シチョウソン</t>
    </rPh>
    <rPh sb="11" eb="12">
      <t>ブン</t>
    </rPh>
    <phoneticPr fontId="4"/>
  </si>
  <si>
    <t>　　燃え殻等20%</t>
    <phoneticPr fontId="2"/>
  </si>
  <si>
    <t>発生量（可燃物の焼却）</t>
    <rPh sb="0" eb="3">
      <t>ハッセイリョウ</t>
    </rPh>
    <rPh sb="4" eb="7">
      <t>カネンブツ</t>
    </rPh>
    <rPh sb="8" eb="10">
      <t>ショウキャク</t>
    </rPh>
    <phoneticPr fontId="2"/>
  </si>
  <si>
    <t>能力</t>
    <rPh sb="0" eb="2">
      <t>ノウリョク</t>
    </rPh>
    <phoneticPr fontId="2"/>
  </si>
  <si>
    <t>処理量</t>
    <rPh sb="0" eb="3">
      <t>ショリリョウ</t>
    </rPh>
    <phoneticPr fontId="2"/>
  </si>
  <si>
    <t>① 仮設トイレ必要人数＝避難者数＋断水による仮設トイレ必要人数
　　　　断水による仮設トイレ必要人数＝｛水洗化人ロ－避難者数×（水洗化人口／総人口）｝
　　　　×上水道支障率×1／2
　　　水洗化人口 ：平常時に水洗トイレを使用する住民数（ｺﾐｭﾆﾃｨﾌﾟﾗﾝﾄ、農漁集排、浄化槽含む）
　　　上水道支障率：地震による上水道の被害率
② 非水洗化区域し尿収集人口＝汲取人ロ－避難者数×（汲取人口／総人口）
③ １人１日平均排出量＝1.7Ｌ／人・日
④ し尿収集必要量＝災害時におけるし尿収集必要人数×１日１人平均排出量
　　＝（①仮設トイレ必要人数＋②非水洗化区域し尿収集人口）×③1 人1 日平均排出量
⑤仮設トイレ必要設置数＝仮設トイレ必要人数／仮設トイレ設置目安
　　仮設トイレ設置目安＝仮設トイレの容量／し尿の１人１日平均排出量／収集計画</t>
    <rPh sb="133" eb="134">
      <t>ギョ</t>
    </rPh>
    <rPh sb="140" eb="141">
      <t>フク</t>
    </rPh>
    <rPh sb="304" eb="306">
      <t>カセツ</t>
    </rPh>
    <rPh sb="309" eb="311">
      <t>ヒツヨウ</t>
    </rPh>
    <rPh sb="311" eb="314">
      <t>セッチスウ</t>
    </rPh>
    <rPh sb="315" eb="317">
      <t>カセツ</t>
    </rPh>
    <rPh sb="320" eb="322">
      <t>ヒツヨウ</t>
    </rPh>
    <rPh sb="322" eb="324">
      <t>ニンズウ</t>
    </rPh>
    <rPh sb="325" eb="327">
      <t>カセツ</t>
    </rPh>
    <rPh sb="330" eb="334">
      <t>セッチメヤス</t>
    </rPh>
    <rPh sb="337" eb="339">
      <t>カセツ</t>
    </rPh>
    <rPh sb="342" eb="346">
      <t>セッチメヤス</t>
    </rPh>
    <rPh sb="347" eb="349">
      <t>カセツ</t>
    </rPh>
    <rPh sb="353" eb="355">
      <t>ヨウリョウ</t>
    </rPh>
    <rPh sb="357" eb="358">
      <t>ニョウ</t>
    </rPh>
    <rPh sb="360" eb="361">
      <t>ニン</t>
    </rPh>
    <rPh sb="362" eb="363">
      <t>ニチ</t>
    </rPh>
    <rPh sb="363" eb="365">
      <t>ヘイキン</t>
    </rPh>
    <rPh sb="365" eb="368">
      <t>ハイシュツリョウ</t>
    </rPh>
    <rPh sb="369" eb="373">
      <t>シュウシュウケイカク</t>
    </rPh>
    <phoneticPr fontId="2"/>
  </si>
  <si>
    <t>-</t>
  </si>
  <si>
    <t>自市町村の10年後残余容量</t>
    <rPh sb="0" eb="4">
      <t>ジシチョウソン</t>
    </rPh>
    <rPh sb="7" eb="9">
      <t>ネンゴ</t>
    </rPh>
    <rPh sb="9" eb="11">
      <t>ザンヨ</t>
    </rPh>
    <rPh sb="11" eb="13">
      <t>ヨウリョウ</t>
    </rPh>
    <phoneticPr fontId="2"/>
  </si>
  <si>
    <t>※その他は、家電、小型家電、石綿含有物等の分別回収するもので、リサイクルルートまたは専門業者による処理とした</t>
    <rPh sb="3" eb="4">
      <t>タ</t>
    </rPh>
    <rPh sb="6" eb="8">
      <t>カデン</t>
    </rPh>
    <rPh sb="9" eb="13">
      <t>コガタカデン</t>
    </rPh>
    <rPh sb="14" eb="16">
      <t>セキメン</t>
    </rPh>
    <rPh sb="16" eb="19">
      <t>ガンユウブツ</t>
    </rPh>
    <rPh sb="19" eb="20">
      <t>トウ</t>
    </rPh>
    <rPh sb="21" eb="23">
      <t>ブンベツ</t>
    </rPh>
    <rPh sb="23" eb="25">
      <t>カイシュウ</t>
    </rPh>
    <rPh sb="42" eb="46">
      <t>センモンギョウシャ</t>
    </rPh>
    <rPh sb="49" eb="51">
      <t>ショリ</t>
    </rPh>
    <phoneticPr fontId="2"/>
  </si>
  <si>
    <t>※平常時施設の枠の中段は処理可能量</t>
    <rPh sb="1" eb="4">
      <t>ヘイジョウジ</t>
    </rPh>
    <rPh sb="4" eb="6">
      <t>シセツ</t>
    </rPh>
    <rPh sb="7" eb="8">
      <t>ワク</t>
    </rPh>
    <rPh sb="9" eb="11">
      <t>チュウダン</t>
    </rPh>
    <rPh sb="12" eb="17">
      <t>ショリカノウリョウ</t>
    </rPh>
    <phoneticPr fontId="2"/>
  </si>
  <si>
    <t>※木くず・コンクリートくずの破砕施設は、単独品目の破砕機は整備されていないと考えられるため、民間事業者の施設</t>
    <rPh sb="1" eb="2">
      <t>キ</t>
    </rPh>
    <rPh sb="14" eb="18">
      <t>ハサイシセツ</t>
    </rPh>
    <rPh sb="20" eb="22">
      <t>タンドク</t>
    </rPh>
    <rPh sb="22" eb="24">
      <t>ヒンモク</t>
    </rPh>
    <rPh sb="25" eb="28">
      <t>ハサイキ</t>
    </rPh>
    <rPh sb="29" eb="31">
      <t>セイビ</t>
    </rPh>
    <rPh sb="38" eb="39">
      <t>カンガ</t>
    </rPh>
    <rPh sb="46" eb="48">
      <t>ミンカン</t>
    </rPh>
    <rPh sb="48" eb="51">
      <t>ジギョウシャ</t>
    </rPh>
    <rPh sb="52" eb="54">
      <t>シセツ</t>
    </rPh>
    <phoneticPr fontId="2"/>
  </si>
  <si>
    <t>R5総務省ﾃﾞｰﾀ</t>
    <rPh sb="2" eb="5">
      <t>ソウムショウ</t>
    </rPh>
    <phoneticPr fontId="2"/>
  </si>
  <si>
    <t>左欄の処理能力未満の施設を除外</t>
    <rPh sb="0" eb="2">
      <t>サラン</t>
    </rPh>
    <rPh sb="3" eb="5">
      <t>ショリ</t>
    </rPh>
    <rPh sb="5" eb="7">
      <t>ノウリョク</t>
    </rPh>
    <rPh sb="7" eb="9">
      <t>ミマン</t>
    </rPh>
    <rPh sb="10" eb="12">
      <t>シセツ</t>
    </rPh>
    <rPh sb="13" eb="15">
      <t>ジョガイ</t>
    </rPh>
    <phoneticPr fontId="2"/>
  </si>
  <si>
    <t>左欄の割合未満の施設を除外</t>
    <rPh sb="0" eb="2">
      <t>サラン</t>
    </rPh>
    <rPh sb="3" eb="5">
      <t>ワリアイ</t>
    </rPh>
    <rPh sb="5" eb="7">
      <t>ミマン</t>
    </rPh>
    <rPh sb="8" eb="10">
      <t>シセツ</t>
    </rPh>
    <rPh sb="11" eb="13">
      <t>ジョガイ</t>
    </rPh>
    <phoneticPr fontId="2"/>
  </si>
  <si>
    <t>被害想定や地域防災計画等から転記する
【参考】　浸水深3.0ｍ以上全壊
　　　　　 浸水深1.5～３ｍ半壊
　         浸水深0.5～1.5ｍ床上浸水
　         浸水深0.5ｍ未満床下浸水
※非住家の被災棟数がわかり、全壊半壊が不明のときは次により計算する。
非住家全壊＝非住家被災棟数×住家全壊/（住家全壊+住家半壊）
非住家半壊＝非住家被災棟数×住家半壊/（住家全壊+住家半壊）</t>
    <rPh sb="0" eb="2">
      <t>ヒガイ</t>
    </rPh>
    <rPh sb="2" eb="4">
      <t>ソウテイ</t>
    </rPh>
    <rPh sb="5" eb="7">
      <t>チイキ</t>
    </rPh>
    <rPh sb="7" eb="9">
      <t>ボウサイ</t>
    </rPh>
    <rPh sb="9" eb="11">
      <t>ケイカク</t>
    </rPh>
    <rPh sb="11" eb="12">
      <t>ナド</t>
    </rPh>
    <rPh sb="20" eb="22">
      <t>サンコウ</t>
    </rPh>
    <phoneticPr fontId="2"/>
  </si>
  <si>
    <t>火災焼失における木造建物発生原単位</t>
    <rPh sb="0" eb="4">
      <t>カサイショウシツ</t>
    </rPh>
    <phoneticPr fontId="2"/>
  </si>
  <si>
    <t>火災焼失における非木造建物発生原単位</t>
    <rPh sb="0" eb="4">
      <t>カサイショウシツ</t>
    </rPh>
    <phoneticPr fontId="2"/>
  </si>
  <si>
    <t>焼失棟数</t>
    <rPh sb="2" eb="4">
      <t>ムネスウ</t>
    </rPh>
    <phoneticPr fontId="2"/>
  </si>
  <si>
    <t>Ｙ ＝ Ｙ１＋Ｙ２
Ｙ：災害廃棄物全体量（トン）
　Ｙ１：建物解体に伴い発生する災害廃棄物量（トン）
　Ｙ２：建物解体以外に発生する災害廃棄物量（トン）
Ｙ１ ＝ （Ｘ１＋Ｘ２） × ａ × ｂ１ ＋（Ｘ３＋Ｘ４) × ａ × ｂ２
　Ｘ１、Ｘ２、Ｘ３、Ｘ４：被災棟数（棟）
　添え字 １：住家全壊，２：非住家全壊，３：住家半壊，４：非住家半壊
　ａ：解体廃棄物発生原単位（t/棟）
　ａ = Ａ１ × ａ１ × ｒ１ ＋Ａ２ × ａ２ × ｒ２
Ｙ２ ＝（Ｘ１＋Ｘ２） × ＣＰ
　CP：片付けごみ及び公物等発生原単位（t/棟）</t>
    <rPh sb="176" eb="178">
      <t>カイタイ</t>
    </rPh>
    <phoneticPr fontId="2"/>
  </si>
  <si>
    <t>比重0.5，積上げ高さ3ｍで計算</t>
    <rPh sb="0" eb="2">
      <t>ヒジュウ</t>
    </rPh>
    <rPh sb="6" eb="8">
      <t>ツミア</t>
    </rPh>
    <rPh sb="9" eb="10">
      <t>タカ</t>
    </rPh>
    <rPh sb="14" eb="16">
      <t>ケイサン</t>
    </rPh>
    <phoneticPr fontId="4"/>
  </si>
  <si>
    <t>U町</t>
    <rPh sb="1" eb="2">
      <t>マチ</t>
    </rPh>
    <phoneticPr fontId="2"/>
  </si>
  <si>
    <t>Ｔ平野断層帯地震</t>
    <rPh sb="1" eb="3">
      <t>ヘイヤ</t>
    </rPh>
    <rPh sb="3" eb="5">
      <t>ダンソウ</t>
    </rPh>
    <rPh sb="5" eb="6">
      <t>タイ</t>
    </rPh>
    <rPh sb="6" eb="8">
      <t>ジシン</t>
    </rPh>
    <phoneticPr fontId="2"/>
  </si>
  <si>
    <t>Cセンター</t>
    <phoneticPr fontId="2"/>
  </si>
  <si>
    <t>Ｕセンター</t>
    <phoneticPr fontId="2"/>
  </si>
  <si>
    <t>Ｔ下水道浄化センター浄化槽汚泥等受入施設</t>
    <phoneticPr fontId="2"/>
  </si>
  <si>
    <t>埋立容量（直近年度実績）</t>
    <rPh sb="2" eb="4">
      <t>ヨウリョウ</t>
    </rPh>
    <rPh sb="5" eb="7">
      <t>チョッキン</t>
    </rPh>
    <rPh sb="7" eb="9">
      <t>ネンド</t>
    </rPh>
    <rPh sb="9" eb="11">
      <t>ジッセキ</t>
    </rPh>
    <phoneticPr fontId="29"/>
  </si>
  <si>
    <t>1年間の埋立容量のm3単位実績。最終処分場の管理年報等から計算する。</t>
    <rPh sb="6" eb="8">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</si>
</sst>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0"/>
    <numFmt numFmtId="178" formatCode="0.0%"/>
    <numFmt numFmtId="179" formatCode="0_ "/>
    <numFmt numFmtId="180" formatCode="#,##0_ "/>
    <numFmt numFmtId="181" formatCode="#,##0.0_ "/>
    <numFmt numFmtId="182" formatCode="#,##0_ ;[Red]\-#,##0\ "/>
    <numFmt numFmtId="183" formatCode="0.00_);[Red]\(0.00\)"/>
    <numFmt numFmtId="184" formatCode="#,##0.0;[Red]\-#,##0.0"/>
    <numFmt numFmtId="185" formatCode="0_);[Red]\(0\)"/>
  </numFmts>
  <fonts count="58"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0"/>
      <name val="HGP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000000"/>
      <name val="Times New Roman"/>
      <family val="1"/>
    </font>
    <font>
      <sz val="10"/>
      <color rgb="FF000000"/>
      <name val="HGPｺﾞｼｯｸM"/>
      <family val="3"/>
      <charset val="128"/>
    </font>
    <font>
      <sz val="10"/>
      <color theme="1"/>
      <name val="ＭＳ 明朝"/>
      <family val="1"/>
      <charset val="128"/>
    </font>
    <font>
      <sz val="11"/>
      <color theme="1"/>
      <name val="HGPｺﾞｼｯｸM"/>
      <family val="3"/>
      <charset val="128"/>
    </font>
    <font>
      <sz val="10"/>
      <name val="ＭＳ 明朝"/>
      <family val="1"/>
      <charset val="128"/>
    </font>
    <font>
      <b/>
      <sz val="15"/>
      <color indexed="56"/>
      <name val="ＭＳ 明朝"/>
      <family val="1"/>
      <charset val="128"/>
    </font>
    <font>
      <sz val="11"/>
      <color indexed="8"/>
      <name val="ＭＳ Ｐゴシック"/>
      <family val="3"/>
      <charset val="128"/>
    </font>
    <font>
      <sz val="6"/>
      <name val="ＭＳ Ｐゴシック"/>
      <family val="3"/>
      <charset val="128"/>
      <scheme val="minor"/>
    </font>
    <font>
      <sz val="11"/>
      <name val="HGPｺﾞｼｯｸM"/>
      <family val="3"/>
      <charset val="128"/>
    </font>
    <font>
      <sz val="11"/>
      <color theme="1"/>
      <name val="ＭＳ Ｐゴシック"/>
      <family val="2"/>
      <scheme val="minor"/>
    </font>
    <font>
      <sz val="10"/>
      <color indexed="8"/>
      <name val="ＭＳ 明朝"/>
      <family val="1"/>
      <charset val="128"/>
    </font>
    <font>
      <sz val="11"/>
      <color theme="1"/>
      <name val="Calibri"/>
      <family val="2"/>
    </font>
    <font>
      <sz val="11"/>
      <color rgb="FF000000"/>
      <name val="HGPｺﾞｼｯｸM"/>
      <family val="3"/>
      <charset val="128"/>
    </font>
    <font>
      <sz val="14"/>
      <color rgb="FF000000"/>
      <name val="HGPｺﾞｼｯｸM"/>
      <family val="3"/>
      <charset val="128"/>
    </font>
    <font>
      <sz val="11"/>
      <color rgb="FFFF0000"/>
      <name val="HGPｺﾞｼｯｸM"/>
      <family val="3"/>
      <charset val="128"/>
    </font>
    <font>
      <vertAlign val="superscript"/>
      <sz val="11"/>
      <color theme="1"/>
      <name val="HGPｺﾞｼｯｸM"/>
      <family val="3"/>
      <charset val="128"/>
    </font>
    <font>
      <b/>
      <sz val="11"/>
      <name val="HGPｺﾞｼｯｸM"/>
      <family val="3"/>
      <charset val="128"/>
    </font>
    <font>
      <sz val="11"/>
      <color theme="0" tint="-0.499984740745262"/>
      <name val="HGPｺﾞｼｯｸM"/>
      <family val="3"/>
      <charset val="128"/>
    </font>
    <font>
      <vertAlign val="superscript"/>
      <sz val="11"/>
      <name val="HGPｺﾞｼｯｸM"/>
      <family val="3"/>
      <charset val="128"/>
    </font>
    <font>
      <sz val="11"/>
      <color rgb="FFFF5050"/>
      <name val="HGPｺﾞｼｯｸM"/>
      <family val="3"/>
      <charset val="128"/>
    </font>
    <font>
      <sz val="14"/>
      <color rgb="FF000000"/>
      <name val="HGSｺﾞｼｯｸM"/>
      <family val="3"/>
      <charset val="128"/>
    </font>
    <font>
      <sz val="11"/>
      <color rgb="FF000000"/>
      <name val="HGSｺﾞｼｯｸM"/>
      <family val="3"/>
      <charset val="128"/>
    </font>
    <font>
      <sz val="11"/>
      <color theme="1"/>
      <name val="HGSｺﾞｼｯｸM"/>
      <family val="3"/>
      <charset val="128"/>
    </font>
    <font>
      <u/>
      <sz val="11"/>
      <color theme="1"/>
      <name val="HGPｺﾞｼｯｸM"/>
      <family val="3"/>
      <charset val="128"/>
    </font>
    <font>
      <sz val="9"/>
      <color theme="1"/>
      <name val="HGPｺﾞｼｯｸM"/>
      <family val="3"/>
      <charset val="128"/>
    </font>
    <font>
      <sz val="8"/>
      <name val="HGPｺﾞｼｯｸM"/>
      <family val="3"/>
      <charset val="128"/>
    </font>
    <font>
      <sz val="11"/>
      <color theme="1"/>
      <name val="BIZ UDPゴシック"/>
      <family val="3"/>
      <charset val="128"/>
    </font>
    <font>
      <sz val="8"/>
      <color theme="1"/>
      <name val="BIZ UDPゴシック"/>
      <family val="3"/>
      <charset val="128"/>
    </font>
    <font>
      <sz val="11"/>
      <color rgb="FF0070C0"/>
      <name val="BIZ UDPゴシック"/>
      <family val="3"/>
      <charset val="128"/>
    </font>
    <font>
      <sz val="8"/>
      <name val="BIZ UDPゴシック"/>
      <family val="3"/>
      <charset val="128"/>
    </font>
    <font>
      <sz val="11"/>
      <color theme="8" tint="-0.249977111117893"/>
      <name val="BIZ UDPゴシック"/>
      <family val="3"/>
      <charset val="128"/>
    </font>
    <font>
      <sz val="8"/>
      <color rgb="FF0070C0"/>
      <name val="BIZ UDPゴシック"/>
      <family val="3"/>
      <charset val="128"/>
    </font>
    <font>
      <sz val="11"/>
      <color rgb="FFFF0000"/>
      <name val="BIZ UDPゴシック"/>
      <family val="3"/>
      <charset val="128"/>
    </font>
    <font>
      <sz val="8"/>
      <color theme="1"/>
      <name val="HGPｺﾞｼｯｸM"/>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diagonalDown="1">
      <left style="thin">
        <color indexed="64"/>
      </left>
      <right style="thin">
        <color indexed="64"/>
      </right>
      <top style="thin">
        <color indexed="64"/>
      </top>
      <bottom style="thin">
        <color indexed="64"/>
      </bottom>
      <diagonal style="thin">
        <color indexed="64"/>
      </diagonal>
    </border>
  </borders>
  <cellStyleXfs count="79">
    <xf numFmtId="0" fontId="0" fillId="0" borderId="0">
      <alignment vertical="center"/>
    </xf>
    <xf numFmtId="0" fontId="1"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 fillId="0" borderId="0">
      <alignment vertical="center"/>
    </xf>
    <xf numFmtId="0" fontId="3" fillId="0" borderId="0"/>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8" fillId="12"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Alignment="0" applyProtection="0">
      <alignment vertical="center"/>
    </xf>
    <xf numFmtId="0" fontId="8" fillId="24"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8" fillId="25" borderId="0" applyNumberFormat="0" applyBorder="0" applyAlignment="0" applyProtection="0">
      <alignment vertical="center"/>
    </xf>
    <xf numFmtId="0" fontId="8" fillId="29" borderId="0" applyNumberFormat="0" applyBorder="0" applyAlignment="0" applyProtection="0">
      <alignment vertical="center"/>
    </xf>
    <xf numFmtId="0" fontId="9" fillId="0" borderId="0" applyNumberFormat="0" applyFill="0" applyBorder="0" applyAlignment="0" applyProtection="0">
      <alignment vertical="center"/>
    </xf>
    <xf numFmtId="0" fontId="10" fillId="7" borderId="19" applyNumberFormat="0" applyAlignment="0" applyProtection="0">
      <alignment vertical="center"/>
    </xf>
    <xf numFmtId="0" fontId="11" fillId="4" borderId="0" applyNumberFormat="0" applyBorder="0" applyAlignment="0" applyProtection="0">
      <alignment vertical="center"/>
    </xf>
    <xf numFmtId="9" fontId="7" fillId="0" borderId="0" applyFont="0" applyFill="0" applyBorder="0" applyAlignment="0" applyProtection="0">
      <alignment vertical="center"/>
    </xf>
    <xf numFmtId="0" fontId="7" fillId="8" borderId="20" applyNumberFormat="0" applyFont="0" applyAlignment="0" applyProtection="0">
      <alignment vertical="center"/>
    </xf>
    <xf numFmtId="0" fontId="12" fillId="0" borderId="18" applyNumberFormat="0" applyFill="0" applyAlignment="0" applyProtection="0">
      <alignment vertical="center"/>
    </xf>
    <xf numFmtId="0" fontId="13" fillId="3" borderId="0" applyNumberFormat="0" applyBorder="0" applyAlignment="0" applyProtection="0">
      <alignment vertical="center"/>
    </xf>
    <xf numFmtId="0" fontId="14" fillId="6" borderId="16" applyNumberFormat="0" applyAlignment="0" applyProtection="0">
      <alignment vertical="center"/>
    </xf>
    <xf numFmtId="0" fontId="15" fillId="0" borderId="0" applyNumberFormat="0" applyFill="0" applyBorder="0" applyAlignment="0" applyProtection="0">
      <alignment vertical="center"/>
    </xf>
    <xf numFmtId="38" fontId="3" fillId="0" borderId="0" applyFont="0" applyFill="0" applyBorder="0" applyAlignment="0" applyProtection="0"/>
    <xf numFmtId="38" fontId="7" fillId="0" borderId="0" applyFont="0" applyFill="0" applyBorder="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8" fillId="0" borderId="0" applyNumberFormat="0" applyFill="0" applyBorder="0" applyAlignment="0" applyProtection="0">
      <alignment vertical="center"/>
    </xf>
    <xf numFmtId="0" fontId="19" fillId="0" borderId="21" applyNumberFormat="0" applyFill="0" applyAlignment="0" applyProtection="0">
      <alignment vertical="center"/>
    </xf>
    <xf numFmtId="0" fontId="20" fillId="6" borderId="17" applyNumberFormat="0" applyAlignment="0" applyProtection="0">
      <alignment vertical="center"/>
    </xf>
    <xf numFmtId="0" fontId="21" fillId="0" borderId="0" applyNumberFormat="0" applyFill="0" applyBorder="0" applyAlignment="0" applyProtection="0">
      <alignment vertical="center"/>
    </xf>
    <xf numFmtId="0" fontId="22" fillId="5" borderId="16" applyNumberFormat="0" applyAlignment="0" applyProtection="0">
      <alignment vertical="center"/>
    </xf>
    <xf numFmtId="0" fontId="7" fillId="0" borderId="0"/>
    <xf numFmtId="0" fontId="23" fillId="2" borderId="0" applyNumberFormat="0" applyBorder="0" applyAlignment="0" applyProtection="0">
      <alignment vertical="center"/>
    </xf>
    <xf numFmtId="0" fontId="24" fillId="0" borderId="0"/>
    <xf numFmtId="0" fontId="26" fillId="0" borderId="0">
      <alignment vertical="center"/>
    </xf>
    <xf numFmtId="0" fontId="28" fillId="0" borderId="0"/>
    <xf numFmtId="0" fontId="26" fillId="0" borderId="0">
      <alignment vertical="center"/>
    </xf>
    <xf numFmtId="38" fontId="24" fillId="0" borderId="0" applyFont="0" applyFill="0" applyBorder="0" applyAlignment="0" applyProtection="0">
      <alignment vertical="center"/>
    </xf>
    <xf numFmtId="0" fontId="30" fillId="0" borderId="0"/>
    <xf numFmtId="38" fontId="3" fillId="0" borderId="0" applyFont="0" applyFill="0" applyBorder="0" applyAlignment="0" applyProtection="0">
      <alignment vertical="center"/>
    </xf>
    <xf numFmtId="0" fontId="7" fillId="0" borderId="0">
      <alignment vertical="center"/>
    </xf>
    <xf numFmtId="9" fontId="24" fillId="0" borderId="0" applyFont="0" applyFill="0" applyBorder="0" applyAlignment="0" applyProtection="0">
      <alignment vertical="center"/>
    </xf>
    <xf numFmtId="38" fontId="3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0" fontId="1" fillId="0" borderId="0">
      <alignment vertical="center"/>
    </xf>
    <xf numFmtId="0" fontId="33" fillId="0" borderId="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34" fillId="0" borderId="0" applyFont="0" applyFill="0" applyBorder="0" applyAlignment="0" applyProtection="0">
      <alignment vertical="center"/>
    </xf>
    <xf numFmtId="0" fontId="7" fillId="0" borderId="0">
      <alignment vertical="center"/>
    </xf>
    <xf numFmtId="0" fontId="5" fillId="0" borderId="0">
      <alignment vertical="center"/>
    </xf>
    <xf numFmtId="0" fontId="35" fillId="0" borderId="0"/>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cellStyleXfs>
  <cellXfs count="314">
    <xf numFmtId="0" fontId="0" fillId="0" borderId="0" xfId="0">
      <alignment vertical="center"/>
    </xf>
    <xf numFmtId="0" fontId="25" fillId="0" borderId="0" xfId="52" applyFont="1" applyAlignment="1">
      <alignment horizontal="left" vertical="center"/>
    </xf>
    <xf numFmtId="0" fontId="25" fillId="0" borderId="0" xfId="52" applyFont="1" applyAlignment="1">
      <alignment vertical="center"/>
    </xf>
    <xf numFmtId="0" fontId="27" fillId="0" borderId="0" xfId="59" applyFont="1">
      <alignment vertical="center"/>
    </xf>
    <xf numFmtId="0" fontId="27" fillId="0" borderId="1" xfId="0" applyFont="1" applyBorder="1" applyAlignment="1">
      <alignment horizontal="center" vertical="center"/>
    </xf>
    <xf numFmtId="0" fontId="36" fillId="0" borderId="0" xfId="52" applyFont="1" applyAlignment="1">
      <alignment horizontal="left" vertical="center"/>
    </xf>
    <xf numFmtId="0" fontId="37" fillId="0" borderId="0" xfId="52" applyFont="1" applyAlignment="1">
      <alignment horizontal="left" vertical="center"/>
    </xf>
    <xf numFmtId="0" fontId="32" fillId="0" borderId="0" xfId="1" applyFont="1">
      <alignment vertical="center"/>
    </xf>
    <xf numFmtId="0" fontId="40" fillId="0" borderId="0" xfId="1" applyFont="1">
      <alignment vertical="center"/>
    </xf>
    <xf numFmtId="0" fontId="41" fillId="0" borderId="0" xfId="4" applyFont="1">
      <alignment vertical="center"/>
    </xf>
    <xf numFmtId="0" fontId="27" fillId="0" borderId="0" xfId="1" applyFont="1">
      <alignment vertical="center"/>
    </xf>
    <xf numFmtId="0" fontId="32" fillId="0" borderId="1" xfId="57" applyFont="1" applyBorder="1" applyAlignment="1">
      <alignment horizontal="center" vertical="center" wrapText="1"/>
    </xf>
    <xf numFmtId="0" fontId="32" fillId="0" borderId="1" xfId="1" applyFont="1" applyBorder="1" applyAlignment="1">
      <alignment horizontal="center" vertical="center" wrapText="1"/>
    </xf>
    <xf numFmtId="177" fontId="27" fillId="0" borderId="0" xfId="59" applyNumberFormat="1" applyFont="1">
      <alignment vertical="center"/>
    </xf>
    <xf numFmtId="0" fontId="6" fillId="0" borderId="0" xfId="52" applyFont="1" applyAlignment="1">
      <alignment vertical="center"/>
    </xf>
    <xf numFmtId="9" fontId="27" fillId="33" borderId="0" xfId="77" applyFont="1" applyFill="1" applyBorder="1">
      <alignment vertical="center"/>
    </xf>
    <xf numFmtId="38" fontId="27" fillId="0" borderId="0" xfId="59" applyNumberFormat="1" applyFont="1">
      <alignment vertical="center"/>
    </xf>
    <xf numFmtId="9" fontId="27" fillId="0" borderId="0" xfId="77" applyFont="1" applyFill="1" applyBorder="1">
      <alignment vertical="center"/>
    </xf>
    <xf numFmtId="38" fontId="27" fillId="0" borderId="0" xfId="78" applyFont="1" applyFill="1" applyBorder="1" applyAlignment="1">
      <alignment horizontal="center" vertical="center"/>
    </xf>
    <xf numFmtId="38" fontId="27" fillId="0" borderId="0" xfId="59" applyNumberFormat="1" applyFont="1" applyAlignment="1">
      <alignment horizontal="center" vertical="center"/>
    </xf>
    <xf numFmtId="0" fontId="27" fillId="0" borderId="1" xfId="59" applyFont="1" applyBorder="1">
      <alignment vertical="center"/>
    </xf>
    <xf numFmtId="177" fontId="27" fillId="0" borderId="1" xfId="59" applyNumberFormat="1" applyFont="1" applyBorder="1">
      <alignment vertical="center"/>
    </xf>
    <xf numFmtId="38" fontId="27" fillId="0" borderId="1" xfId="78" applyFont="1" applyFill="1" applyBorder="1">
      <alignment vertical="center"/>
    </xf>
    <xf numFmtId="38" fontId="27" fillId="0" borderId="1" xfId="59" applyNumberFormat="1" applyFont="1" applyBorder="1">
      <alignment vertical="center"/>
    </xf>
    <xf numFmtId="0" fontId="27" fillId="0" borderId="1" xfId="59" applyFont="1" applyBorder="1" applyAlignment="1">
      <alignment horizontal="center" vertical="center"/>
    </xf>
    <xf numFmtId="0" fontId="27" fillId="0" borderId="3" xfId="59" applyFont="1" applyBorder="1">
      <alignment vertical="center"/>
    </xf>
    <xf numFmtId="0" fontId="27" fillId="0" borderId="1" xfId="59" applyFont="1" applyBorder="1" applyAlignment="1">
      <alignment horizontal="left" vertical="center"/>
    </xf>
    <xf numFmtId="9" fontId="27" fillId="0" borderId="1" xfId="77" applyFont="1" applyFill="1" applyBorder="1">
      <alignment vertical="center"/>
    </xf>
    <xf numFmtId="184" fontId="27" fillId="0" borderId="1" xfId="78" applyNumberFormat="1" applyFont="1" applyFill="1" applyBorder="1">
      <alignment vertical="center"/>
    </xf>
    <xf numFmtId="38" fontId="27" fillId="0" borderId="1" xfId="78" applyFont="1" applyFill="1" applyBorder="1" applyAlignment="1">
      <alignment vertical="center"/>
    </xf>
    <xf numFmtId="177" fontId="27" fillId="0" borderId="1" xfId="59" applyNumberFormat="1" applyFont="1" applyBorder="1" applyAlignment="1">
      <alignment horizontal="center" vertical="center"/>
    </xf>
    <xf numFmtId="0" fontId="36" fillId="34" borderId="10" xfId="52" applyFont="1" applyFill="1" applyBorder="1" applyAlignment="1">
      <alignment horizontal="center" vertical="center"/>
    </xf>
    <xf numFmtId="0" fontId="36" fillId="34" borderId="12" xfId="52" applyFont="1" applyFill="1" applyBorder="1" applyAlignment="1">
      <alignment horizontal="center" vertical="center"/>
    </xf>
    <xf numFmtId="0" fontId="36" fillId="0" borderId="0" xfId="52" applyFont="1" applyAlignment="1">
      <alignment horizontal="center" vertical="center" wrapText="1"/>
    </xf>
    <xf numFmtId="0" fontId="36" fillId="0" borderId="0" xfId="52" applyFont="1" applyAlignment="1">
      <alignment horizontal="center" vertical="center"/>
    </xf>
    <xf numFmtId="38" fontId="36" fillId="0" borderId="0" xfId="78" applyFont="1" applyFill="1" applyBorder="1" applyAlignment="1">
      <alignment horizontal="right" vertical="center" wrapText="1"/>
    </xf>
    <xf numFmtId="0" fontId="36" fillId="0" borderId="0" xfId="52" applyFont="1" applyAlignment="1">
      <alignment horizontal="left" vertical="center" wrapText="1"/>
    </xf>
    <xf numFmtId="0" fontId="32" fillId="0" borderId="1" xfId="1" applyFont="1" applyBorder="1" applyAlignment="1">
      <alignment vertical="center" wrapText="1"/>
    </xf>
    <xf numFmtId="180" fontId="27" fillId="33" borderId="1" xfId="0" applyNumberFormat="1" applyFont="1" applyFill="1" applyBorder="1" applyAlignment="1">
      <alignment horizontal="center" vertical="center"/>
    </xf>
    <xf numFmtId="0" fontId="27" fillId="33" borderId="1" xfId="0" applyFont="1" applyFill="1" applyBorder="1" applyAlignment="1">
      <alignment horizontal="center" vertical="center" shrinkToFit="1"/>
    </xf>
    <xf numFmtId="179" fontId="27" fillId="33" borderId="1" xfId="0" applyNumberFormat="1" applyFont="1" applyFill="1" applyBorder="1" applyAlignment="1">
      <alignment horizontal="center" vertical="center"/>
    </xf>
    <xf numFmtId="0" fontId="27" fillId="33" borderId="1" xfId="0" applyFont="1" applyFill="1" applyBorder="1" applyAlignment="1">
      <alignment horizontal="center" vertical="center"/>
    </xf>
    <xf numFmtId="181" fontId="27" fillId="33" borderId="1" xfId="0" applyNumberFormat="1" applyFont="1" applyFill="1" applyBorder="1" applyAlignment="1">
      <alignment horizontal="center" vertical="center"/>
    </xf>
    <xf numFmtId="0" fontId="36" fillId="33" borderId="0" xfId="52" applyFont="1" applyFill="1" applyAlignment="1">
      <alignment horizontal="left" vertical="center"/>
    </xf>
    <xf numFmtId="0" fontId="36" fillId="36" borderId="0" xfId="52" applyFont="1" applyFill="1" applyAlignment="1">
      <alignment horizontal="left" vertical="center"/>
    </xf>
    <xf numFmtId="0" fontId="27" fillId="0" borderId="1" xfId="0" applyFont="1" applyBorder="1">
      <alignment vertical="center"/>
    </xf>
    <xf numFmtId="0" fontId="27" fillId="0" borderId="2" xfId="0" applyFont="1" applyBorder="1" applyAlignment="1">
      <alignment horizontal="center" vertical="center" textRotation="255"/>
    </xf>
    <xf numFmtId="0" fontId="27" fillId="0" borderId="1" xfId="0" applyFont="1" applyBorder="1" applyAlignment="1">
      <alignment vertical="center" wrapText="1"/>
    </xf>
    <xf numFmtId="0" fontId="36" fillId="0" borderId="1" xfId="52" applyFont="1" applyBorder="1" applyAlignment="1">
      <alignment horizontal="left" vertical="center"/>
    </xf>
    <xf numFmtId="0" fontId="27" fillId="0" borderId="0" xfId="0" applyFont="1">
      <alignment vertical="center"/>
    </xf>
    <xf numFmtId="0" fontId="27" fillId="0" borderId="0" xfId="0" applyFont="1" applyAlignment="1">
      <alignment horizontal="left" vertical="center"/>
    </xf>
    <xf numFmtId="0" fontId="27" fillId="0" borderId="1" xfId="0" applyFont="1" applyBorder="1" applyAlignment="1">
      <alignment horizontal="right" vertical="center"/>
    </xf>
    <xf numFmtId="0" fontId="27" fillId="36" borderId="1" xfId="0" applyFont="1" applyFill="1" applyBorder="1">
      <alignment vertical="center"/>
    </xf>
    <xf numFmtId="178" fontId="27" fillId="36" borderId="1" xfId="77" applyNumberFormat="1" applyFont="1" applyFill="1" applyBorder="1">
      <alignment vertical="center"/>
    </xf>
    <xf numFmtId="0" fontId="27" fillId="36" borderId="1" xfId="0" applyFont="1" applyFill="1" applyBorder="1" applyAlignment="1">
      <alignment horizontal="right" vertical="center"/>
    </xf>
    <xf numFmtId="0" fontId="36" fillId="36" borderId="1" xfId="52" applyFont="1" applyFill="1" applyBorder="1" applyAlignment="1">
      <alignment horizontal="right" vertical="center"/>
    </xf>
    <xf numFmtId="0" fontId="27" fillId="0" borderId="0" xfId="0" applyFont="1" applyAlignment="1">
      <alignment horizontal="right" vertical="center"/>
    </xf>
    <xf numFmtId="0" fontId="36" fillId="0" borderId="0" xfId="52" applyFont="1" applyAlignment="1">
      <alignment horizontal="right" vertical="center"/>
    </xf>
    <xf numFmtId="0" fontId="36" fillId="0" borderId="1" xfId="52" applyFont="1" applyBorder="1" applyAlignment="1">
      <alignment horizontal="right" vertical="center"/>
    </xf>
    <xf numFmtId="0" fontId="36" fillId="0" borderId="1" xfId="52" applyFont="1" applyBorder="1" applyAlignment="1">
      <alignment horizontal="center" vertical="center"/>
    </xf>
    <xf numFmtId="0" fontId="36" fillId="35" borderId="0" xfId="52" applyFont="1" applyFill="1" applyAlignment="1">
      <alignment horizontal="left" vertical="center"/>
    </xf>
    <xf numFmtId="178" fontId="32" fillId="0" borderId="1" xfId="52" applyNumberFormat="1" applyFont="1" applyBorder="1" applyAlignment="1">
      <alignment horizontal="center" vertical="center"/>
    </xf>
    <xf numFmtId="9" fontId="36" fillId="36" borderId="1" xfId="77" applyFont="1" applyFill="1" applyBorder="1" applyAlignment="1">
      <alignment horizontal="right" vertical="center"/>
    </xf>
    <xf numFmtId="178" fontId="36" fillId="36" borderId="1" xfId="52" applyNumberFormat="1" applyFont="1" applyFill="1" applyBorder="1" applyAlignment="1">
      <alignment horizontal="right" vertical="center"/>
    </xf>
    <xf numFmtId="178" fontId="36" fillId="36" borderId="1" xfId="77" applyNumberFormat="1" applyFont="1" applyFill="1" applyBorder="1" applyAlignment="1">
      <alignment horizontal="right" vertical="center"/>
    </xf>
    <xf numFmtId="9" fontId="36" fillId="36" borderId="1" xfId="52" applyNumberFormat="1" applyFont="1" applyFill="1" applyBorder="1" applyAlignment="1">
      <alignment horizontal="right" vertical="center"/>
    </xf>
    <xf numFmtId="0" fontId="36" fillId="36" borderId="1" xfId="52" applyFont="1" applyFill="1" applyBorder="1" applyAlignment="1">
      <alignment horizontal="center" vertical="center" wrapText="1"/>
    </xf>
    <xf numFmtId="0" fontId="36" fillId="0" borderId="0" xfId="52" applyFont="1" applyAlignment="1">
      <alignment vertical="top" wrapText="1"/>
    </xf>
    <xf numFmtId="0" fontId="36" fillId="0" borderId="0" xfId="52" applyFont="1" applyAlignment="1">
      <alignment horizontal="left" vertical="top" wrapText="1"/>
    </xf>
    <xf numFmtId="0" fontId="36" fillId="0" borderId="0" xfId="52" applyFont="1" applyAlignment="1">
      <alignment horizontal="left" vertical="top"/>
    </xf>
    <xf numFmtId="0" fontId="27" fillId="0" borderId="1" xfId="55" applyFont="1" applyBorder="1" applyAlignment="1">
      <alignment horizontal="center" vertical="center"/>
    </xf>
    <xf numFmtId="0" fontId="27" fillId="0" borderId="1" xfId="55" applyFont="1" applyBorder="1">
      <alignment vertical="center"/>
    </xf>
    <xf numFmtId="0" fontId="27" fillId="0" borderId="0" xfId="55" applyFont="1">
      <alignment vertical="center"/>
    </xf>
    <xf numFmtId="0" fontId="32" fillId="0" borderId="0" xfId="6" applyFont="1" applyAlignment="1">
      <alignment horizontal="right"/>
    </xf>
    <xf numFmtId="0" fontId="27" fillId="0" borderId="1" xfId="55" applyFont="1" applyBorder="1" applyAlignment="1">
      <alignment horizontal="center" vertical="center" wrapText="1"/>
    </xf>
    <xf numFmtId="0" fontId="27" fillId="0" borderId="1" xfId="52" applyFont="1" applyBorder="1" applyAlignment="1">
      <alignment vertical="center" wrapText="1"/>
    </xf>
    <xf numFmtId="0" fontId="27" fillId="0" borderId="1" xfId="52" applyFont="1" applyBorder="1" applyAlignment="1">
      <alignment horizontal="center" vertical="center" wrapText="1"/>
    </xf>
    <xf numFmtId="180" fontId="32" fillId="0" borderId="1" xfId="6" applyNumberFormat="1" applyFont="1" applyBorder="1" applyAlignment="1">
      <alignment horizontal="right"/>
    </xf>
    <xf numFmtId="180" fontId="27" fillId="0" borderId="1" xfId="55" applyNumberFormat="1" applyFont="1" applyBorder="1">
      <alignment vertical="center"/>
    </xf>
    <xf numFmtId="180" fontId="36" fillId="0" borderId="1" xfId="52" applyNumberFormat="1" applyFont="1" applyBorder="1" applyAlignment="1">
      <alignment vertical="center"/>
    </xf>
    <xf numFmtId="183" fontId="36" fillId="0" borderId="1" xfId="52" applyNumberFormat="1" applyFont="1" applyBorder="1" applyAlignment="1">
      <alignment vertical="center"/>
    </xf>
    <xf numFmtId="0" fontId="27" fillId="0" borderId="1" xfId="52" applyFont="1" applyBorder="1" applyAlignment="1">
      <alignment vertical="center"/>
    </xf>
    <xf numFmtId="180" fontId="27" fillId="0" borderId="1" xfId="55" applyNumberFormat="1" applyFont="1" applyBorder="1" applyAlignment="1">
      <alignment horizontal="right" vertical="center"/>
    </xf>
    <xf numFmtId="0" fontId="25" fillId="0" borderId="0" xfId="52" applyFont="1" applyAlignment="1">
      <alignment horizontal="left" vertical="top"/>
    </xf>
    <xf numFmtId="0" fontId="27" fillId="36" borderId="1" xfId="55" applyFont="1" applyFill="1" applyBorder="1">
      <alignment vertical="center"/>
    </xf>
    <xf numFmtId="0" fontId="32" fillId="0" borderId="10" xfId="6" applyFont="1" applyBorder="1" applyAlignment="1">
      <alignment vertical="center" wrapText="1"/>
    </xf>
    <xf numFmtId="0" fontId="27" fillId="0" borderId="1" xfId="55" applyFont="1" applyBorder="1" applyAlignment="1">
      <alignment horizontal="left" vertical="center"/>
    </xf>
    <xf numFmtId="0" fontId="27" fillId="33" borderId="1" xfId="55" applyFont="1" applyFill="1" applyBorder="1" applyAlignment="1">
      <alignment horizontal="right" vertical="center"/>
    </xf>
    <xf numFmtId="38" fontId="27" fillId="36" borderId="1" xfId="78" applyFont="1" applyFill="1" applyBorder="1" applyAlignment="1">
      <alignment horizontal="right" vertical="center"/>
    </xf>
    <xf numFmtId="38" fontId="36" fillId="36" borderId="1" xfId="78" applyFont="1" applyFill="1" applyBorder="1" applyAlignment="1">
      <alignment horizontal="right" vertical="center"/>
    </xf>
    <xf numFmtId="183" fontId="27" fillId="35" borderId="1" xfId="55" applyNumberFormat="1" applyFont="1" applyFill="1" applyBorder="1" applyAlignment="1">
      <alignment horizontal="right" vertical="center"/>
    </xf>
    <xf numFmtId="0" fontId="32" fillId="0" borderId="1" xfId="1" applyFont="1" applyBorder="1" applyAlignment="1">
      <alignment horizontal="center" vertical="center"/>
    </xf>
    <xf numFmtId="0" fontId="32" fillId="0" borderId="1" xfId="1" applyFont="1" applyBorder="1" applyAlignment="1">
      <alignment horizontal="center" vertical="center" shrinkToFit="1"/>
    </xf>
    <xf numFmtId="0" fontId="6" fillId="0" borderId="0" xfId="1" applyFont="1">
      <alignment vertical="center"/>
    </xf>
    <xf numFmtId="0" fontId="32" fillId="0" borderId="1" xfId="57" quotePrefix="1" applyFont="1" applyBorder="1" applyAlignment="1">
      <alignment horizontal="center" vertical="center" wrapText="1"/>
    </xf>
    <xf numFmtId="0" fontId="32" fillId="36" borderId="1" xfId="1" applyFont="1" applyFill="1" applyBorder="1">
      <alignment vertical="center"/>
    </xf>
    <xf numFmtId="9" fontId="32" fillId="36" borderId="1" xfId="1" applyNumberFormat="1" applyFont="1" applyFill="1" applyBorder="1">
      <alignment vertical="center"/>
    </xf>
    <xf numFmtId="182" fontId="32" fillId="0" borderId="1" xfId="56" applyNumberFormat="1" applyFont="1" applyFill="1" applyBorder="1" applyAlignment="1">
      <alignment vertical="center"/>
    </xf>
    <xf numFmtId="182" fontId="32" fillId="35" borderId="1" xfId="56" applyNumberFormat="1" applyFont="1" applyFill="1" applyBorder="1" applyAlignment="1">
      <alignment vertical="center"/>
    </xf>
    <xf numFmtId="38" fontId="27" fillId="0" borderId="0" xfId="78" applyFont="1" applyFill="1" applyBorder="1" applyAlignment="1">
      <alignment vertical="center"/>
    </xf>
    <xf numFmtId="38" fontId="36" fillId="0" borderId="1" xfId="78" applyFont="1" applyBorder="1" applyAlignment="1">
      <alignment horizontal="right" vertical="center"/>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44" fillId="0" borderId="0" xfId="52" applyFont="1" applyAlignment="1">
      <alignment horizontal="left" vertical="center"/>
    </xf>
    <xf numFmtId="0" fontId="45" fillId="0" borderId="0" xfId="52" applyFont="1" applyAlignment="1">
      <alignment horizontal="left" vertical="center"/>
    </xf>
    <xf numFmtId="0" fontId="46" fillId="0" borderId="0" xfId="0" applyFont="1">
      <alignment vertical="center"/>
    </xf>
    <xf numFmtId="0" fontId="45" fillId="0" borderId="1" xfId="52" applyFont="1" applyBorder="1" applyAlignment="1">
      <alignment horizontal="center" vertical="center"/>
    </xf>
    <xf numFmtId="0" fontId="45" fillId="0" borderId="0" xfId="52" applyFont="1" applyAlignment="1">
      <alignment horizontal="left" vertical="center" wrapText="1"/>
    </xf>
    <xf numFmtId="0" fontId="45" fillId="0" borderId="1" xfId="52" applyFont="1" applyBorder="1" applyAlignment="1">
      <alignment vertical="center"/>
    </xf>
    <xf numFmtId="181" fontId="45" fillId="37" borderId="1" xfId="52" applyNumberFormat="1" applyFont="1" applyFill="1" applyBorder="1" applyAlignment="1">
      <alignment vertical="center"/>
    </xf>
    <xf numFmtId="0" fontId="45" fillId="0" borderId="0" xfId="52" applyFont="1" applyAlignment="1">
      <alignment horizontal="right" vertical="center"/>
    </xf>
    <xf numFmtId="180" fontId="45" fillId="37" borderId="1" xfId="52" applyNumberFormat="1" applyFont="1" applyFill="1" applyBorder="1" applyAlignment="1">
      <alignment vertical="center"/>
    </xf>
    <xf numFmtId="0" fontId="45" fillId="0" borderId="0" xfId="52" applyFont="1" applyAlignment="1">
      <alignment vertical="center"/>
    </xf>
    <xf numFmtId="180" fontId="45" fillId="0" borderId="0" xfId="52" applyNumberFormat="1" applyFont="1" applyAlignment="1">
      <alignment vertical="center"/>
    </xf>
    <xf numFmtId="0" fontId="45" fillId="0" borderId="1" xfId="52" applyFont="1" applyBorder="1" applyAlignment="1">
      <alignment vertical="center" wrapText="1"/>
    </xf>
    <xf numFmtId="9" fontId="45" fillId="0" borderId="1" xfId="77" applyFont="1" applyFill="1" applyBorder="1" applyAlignment="1">
      <alignment horizontal="right" vertical="center"/>
    </xf>
    <xf numFmtId="176" fontId="45" fillId="0" borderId="1" xfId="56" applyNumberFormat="1" applyFont="1" applyFill="1" applyBorder="1" applyAlignment="1">
      <alignment horizontal="right" vertical="center"/>
    </xf>
    <xf numFmtId="0" fontId="45" fillId="0" borderId="1" xfId="52" applyFont="1" applyBorder="1" applyAlignment="1">
      <alignment horizontal="left" vertical="center"/>
    </xf>
    <xf numFmtId="176" fontId="45" fillId="0" borderId="1" xfId="52" applyNumberFormat="1" applyFont="1" applyBorder="1" applyAlignment="1">
      <alignment vertical="center"/>
    </xf>
    <xf numFmtId="180" fontId="45" fillId="0" borderId="1" xfId="52" applyNumberFormat="1" applyFont="1" applyBorder="1" applyAlignment="1">
      <alignment horizontal="right" vertical="center"/>
    </xf>
    <xf numFmtId="185" fontId="45" fillId="0" borderId="1" xfId="78" applyNumberFormat="1" applyFont="1" applyFill="1" applyBorder="1" applyAlignment="1">
      <alignment horizontal="right" vertical="center"/>
    </xf>
    <xf numFmtId="0" fontId="45" fillId="0" borderId="0" xfId="62" applyFont="1" applyAlignment="1">
      <alignment horizontal="left" vertical="center"/>
    </xf>
    <xf numFmtId="0" fontId="46" fillId="0" borderId="0" xfId="62" applyFont="1">
      <alignment vertical="center"/>
    </xf>
    <xf numFmtId="0" fontId="45" fillId="0" borderId="1" xfId="62" applyFont="1" applyBorder="1" applyAlignment="1">
      <alignment horizontal="center" vertical="center" wrapText="1"/>
    </xf>
    <xf numFmtId="38" fontId="46" fillId="0" borderId="1" xfId="62" applyNumberFormat="1" applyFont="1" applyBorder="1">
      <alignment vertical="center"/>
    </xf>
    <xf numFmtId="0" fontId="45" fillId="0" borderId="1" xfId="62" applyFont="1" applyBorder="1" applyAlignment="1">
      <alignment horizontal="center" vertical="center" shrinkToFit="1"/>
    </xf>
    <xf numFmtId="177" fontId="46" fillId="35" borderId="1" xfId="62" applyNumberFormat="1" applyFont="1" applyFill="1" applyBorder="1">
      <alignment vertical="center"/>
    </xf>
    <xf numFmtId="0" fontId="47" fillId="0" borderId="0" xfId="0" applyFont="1">
      <alignment vertical="center"/>
    </xf>
    <xf numFmtId="0" fontId="5" fillId="0" borderId="0" xfId="0" applyFont="1">
      <alignment vertical="center"/>
    </xf>
    <xf numFmtId="0" fontId="32" fillId="0" borderId="5" xfId="1" applyFont="1" applyBorder="1">
      <alignment vertical="center"/>
    </xf>
    <xf numFmtId="0" fontId="38" fillId="0" borderId="0" xfId="1" applyFont="1">
      <alignment vertical="center"/>
    </xf>
    <xf numFmtId="0" fontId="32" fillId="0" borderId="1" xfId="1" applyFont="1" applyBorder="1">
      <alignment vertical="center"/>
    </xf>
    <xf numFmtId="0" fontId="32" fillId="0" borderId="0" xfId="1" applyFont="1" applyAlignment="1">
      <alignment vertical="center" wrapText="1"/>
    </xf>
    <xf numFmtId="0" fontId="32" fillId="0" borderId="1" xfId="4" applyFont="1" applyBorder="1" applyAlignment="1">
      <alignment vertical="center" wrapText="1"/>
    </xf>
    <xf numFmtId="0" fontId="32" fillId="0" borderId="10" xfId="57" applyFont="1" applyBorder="1" applyAlignment="1">
      <alignment vertical="center" wrapText="1"/>
    </xf>
    <xf numFmtId="0" fontId="32" fillId="0" borderId="11" xfId="57" applyFont="1" applyBorder="1" applyAlignment="1">
      <alignment vertical="center" wrapText="1"/>
    </xf>
    <xf numFmtId="0" fontId="32" fillId="0" borderId="12" xfId="57" applyFont="1" applyBorder="1" applyAlignment="1">
      <alignment vertical="center" wrapText="1"/>
    </xf>
    <xf numFmtId="0" fontId="32" fillId="0" borderId="10" xfId="1" applyFont="1" applyBorder="1" applyAlignment="1">
      <alignment vertical="center" wrapText="1"/>
    </xf>
    <xf numFmtId="0" fontId="32" fillId="0" borderId="11" xfId="1" applyFont="1" applyBorder="1" applyAlignment="1">
      <alignment vertical="center" wrapText="1"/>
    </xf>
    <xf numFmtId="1" fontId="36" fillId="0" borderId="1" xfId="52" applyNumberFormat="1" applyFont="1" applyBorder="1" applyAlignment="1">
      <alignment horizontal="right" vertical="center"/>
    </xf>
    <xf numFmtId="2" fontId="32" fillId="0" borderId="1" xfId="1" applyNumberFormat="1" applyFont="1" applyBorder="1">
      <alignment vertical="center"/>
    </xf>
    <xf numFmtId="0" fontId="32" fillId="0" borderId="0" xfId="1" applyFont="1" applyAlignment="1">
      <alignment horizontal="center" vertical="center" wrapText="1"/>
    </xf>
    <xf numFmtId="0" fontId="32" fillId="0" borderId="0" xfId="1" applyFont="1" applyAlignment="1">
      <alignment horizontal="center" vertical="center"/>
    </xf>
    <xf numFmtId="0" fontId="48" fillId="0" borderId="0" xfId="59" applyFont="1">
      <alignment vertical="center"/>
    </xf>
    <xf numFmtId="177" fontId="36" fillId="0" borderId="0" xfId="52" applyNumberFormat="1" applyFont="1" applyAlignment="1">
      <alignment horizontal="right" vertical="center"/>
    </xf>
    <xf numFmtId="177" fontId="27" fillId="0" borderId="1" xfId="0" applyNumberFormat="1" applyFont="1" applyBorder="1" applyAlignment="1">
      <alignment horizontal="right" vertical="center"/>
    </xf>
    <xf numFmtId="38" fontId="36" fillId="0" borderId="1" xfId="78" applyFont="1" applyBorder="1" applyAlignment="1">
      <alignment horizontal="right" vertical="center" wrapText="1"/>
    </xf>
    <xf numFmtId="0" fontId="49" fillId="0" borderId="1" xfId="1" applyFont="1" applyBorder="1" applyAlignment="1">
      <alignment vertical="center" wrapText="1"/>
    </xf>
    <xf numFmtId="38" fontId="32" fillId="0" borderId="1" xfId="78" applyFont="1" applyBorder="1">
      <alignment vertical="center"/>
    </xf>
    <xf numFmtId="38" fontId="32" fillId="0" borderId="12" xfId="78" applyFont="1" applyFill="1" applyBorder="1" applyAlignment="1">
      <alignment vertical="center"/>
    </xf>
    <xf numFmtId="38" fontId="32" fillId="0" borderId="1" xfId="78" applyFont="1" applyFill="1" applyBorder="1" applyAlignment="1">
      <alignment vertical="center"/>
    </xf>
    <xf numFmtId="0" fontId="46" fillId="0" borderId="1" xfId="52" applyFont="1" applyBorder="1" applyAlignment="1">
      <alignment vertical="center" wrapText="1"/>
    </xf>
    <xf numFmtId="38" fontId="32" fillId="35" borderId="1" xfId="58" applyFont="1" applyFill="1" applyBorder="1" applyAlignment="1">
      <alignment vertical="center"/>
    </xf>
    <xf numFmtId="0" fontId="50" fillId="34" borderId="0" xfId="0" applyFont="1" applyFill="1">
      <alignment vertical="center"/>
    </xf>
    <xf numFmtId="0" fontId="50" fillId="34" borderId="0" xfId="0" applyFont="1" applyFill="1" applyAlignment="1">
      <alignment horizontal="left" vertical="center"/>
    </xf>
    <xf numFmtId="0" fontId="50" fillId="34" borderId="0" xfId="0" applyFont="1" applyFill="1" applyAlignment="1">
      <alignment horizontal="center" vertical="center"/>
    </xf>
    <xf numFmtId="0" fontId="51" fillId="34" borderId="0" xfId="0" applyFont="1" applyFill="1">
      <alignment vertical="center"/>
    </xf>
    <xf numFmtId="0" fontId="50" fillId="0" borderId="0" xfId="0" applyFont="1">
      <alignment vertical="center"/>
    </xf>
    <xf numFmtId="0" fontId="50" fillId="34" borderId="0" xfId="0" applyFont="1" applyFill="1" applyAlignment="1">
      <alignment horizontal="left" vertical="top"/>
    </xf>
    <xf numFmtId="0" fontId="50" fillId="0" borderId="0" xfId="0" applyFont="1" applyAlignment="1">
      <alignment horizontal="left" vertical="center"/>
    </xf>
    <xf numFmtId="0" fontId="50" fillId="0" borderId="0" xfId="0" applyFont="1" applyAlignment="1">
      <alignment horizontal="left" vertical="top"/>
    </xf>
    <xf numFmtId="0" fontId="50" fillId="0" borderId="0" xfId="0" applyFont="1" applyAlignment="1">
      <alignment horizontal="center" vertical="center"/>
    </xf>
    <xf numFmtId="0" fontId="52" fillId="34" borderId="0" xfId="0" applyFont="1" applyFill="1" applyAlignment="1">
      <alignment horizontal="center" vertical="center"/>
    </xf>
    <xf numFmtId="0" fontId="52" fillId="34" borderId="0" xfId="0" applyFont="1" applyFill="1">
      <alignment vertical="center"/>
    </xf>
    <xf numFmtId="0" fontId="53" fillId="34" borderId="0" xfId="0" applyFont="1" applyFill="1" applyAlignment="1">
      <alignment horizontal="left"/>
    </xf>
    <xf numFmtId="0" fontId="55" fillId="34" borderId="0" xfId="0" applyFont="1" applyFill="1" applyAlignment="1">
      <alignment horizontal="left" vertical="center"/>
    </xf>
    <xf numFmtId="0" fontId="52" fillId="34" borderId="1" xfId="0" applyFont="1" applyFill="1" applyBorder="1" applyAlignment="1">
      <alignment horizontal="center" vertical="center"/>
    </xf>
    <xf numFmtId="38" fontId="56" fillId="34" borderId="1" xfId="78" applyFont="1" applyFill="1" applyBorder="1" applyAlignment="1">
      <alignment horizontal="center" vertical="center"/>
    </xf>
    <xf numFmtId="3" fontId="56" fillId="34" borderId="1" xfId="0" applyNumberFormat="1" applyFont="1" applyFill="1" applyBorder="1" applyAlignment="1">
      <alignment horizontal="center" vertical="center"/>
    </xf>
    <xf numFmtId="9" fontId="52" fillId="34" borderId="0" xfId="0" applyNumberFormat="1" applyFont="1" applyFill="1" applyAlignment="1">
      <alignment horizontal="right" vertical="center"/>
    </xf>
    <xf numFmtId="38" fontId="56" fillId="34" borderId="0" xfId="0" applyNumberFormat="1" applyFont="1" applyFill="1" applyAlignment="1">
      <alignment horizontal="center" vertical="center"/>
    </xf>
    <xf numFmtId="38" fontId="56" fillId="34" borderId="1" xfId="0" applyNumberFormat="1" applyFont="1" applyFill="1" applyBorder="1" applyAlignment="1">
      <alignment horizontal="center" vertical="center"/>
    </xf>
    <xf numFmtId="9" fontId="55" fillId="34" borderId="0" xfId="0" applyNumberFormat="1" applyFont="1" applyFill="1" applyAlignment="1">
      <alignment horizontal="left" vertical="center"/>
    </xf>
    <xf numFmtId="0" fontId="51" fillId="34" borderId="10" xfId="0" applyFont="1" applyFill="1" applyBorder="1">
      <alignment vertical="center"/>
    </xf>
    <xf numFmtId="38" fontId="56" fillId="34" borderId="12" xfId="78" applyFont="1" applyFill="1" applyBorder="1" applyAlignment="1">
      <alignment horizontal="center" vertical="center"/>
    </xf>
    <xf numFmtId="38" fontId="56" fillId="34" borderId="12" xfId="0" applyNumberFormat="1" applyFont="1" applyFill="1" applyBorder="1" applyAlignment="1">
      <alignment horizontal="center" vertical="center"/>
    </xf>
    <xf numFmtId="0" fontId="51" fillId="34" borderId="0" xfId="0" applyFont="1" applyFill="1" applyAlignment="1">
      <alignment horizontal="left" vertical="center"/>
    </xf>
    <xf numFmtId="9" fontId="36" fillId="36" borderId="1" xfId="52" applyNumberFormat="1" applyFont="1" applyFill="1" applyBorder="1" applyAlignment="1">
      <alignment horizontal="center" vertical="center"/>
    </xf>
    <xf numFmtId="0" fontId="55" fillId="0" borderId="0" xfId="0" applyFont="1" applyAlignment="1">
      <alignment horizontal="left" vertical="center"/>
    </xf>
    <xf numFmtId="38" fontId="36" fillId="35" borderId="1" xfId="78" applyFont="1" applyFill="1" applyBorder="1" applyAlignment="1">
      <alignment horizontal="right" vertical="center"/>
    </xf>
    <xf numFmtId="38" fontId="36" fillId="0" borderId="0" xfId="78" applyFont="1" applyBorder="1" applyAlignment="1">
      <alignment horizontal="right" vertical="center"/>
    </xf>
    <xf numFmtId="38" fontId="36" fillId="0" borderId="1" xfId="78" applyFont="1" applyFill="1" applyBorder="1" applyAlignment="1">
      <alignment horizontal="right" vertical="center"/>
    </xf>
    <xf numFmtId="38" fontId="36" fillId="0" borderId="0" xfId="52" applyNumberFormat="1" applyFont="1" applyAlignment="1">
      <alignment horizontal="left" vertical="center"/>
    </xf>
    <xf numFmtId="0" fontId="6" fillId="0" borderId="0" xfId="1" quotePrefix="1" applyFont="1" applyAlignment="1">
      <alignment horizontal="left" vertical="center"/>
    </xf>
    <xf numFmtId="0" fontId="6" fillId="0" borderId="0" xfId="1" applyFont="1" applyAlignment="1">
      <alignment horizontal="left" vertical="center"/>
    </xf>
    <xf numFmtId="0" fontId="27" fillId="0" borderId="22" xfId="0" applyFont="1" applyBorder="1">
      <alignment vertical="center"/>
    </xf>
    <xf numFmtId="177" fontId="27" fillId="0" borderId="22" xfId="0" applyNumberFormat="1" applyFont="1" applyBorder="1" applyAlignment="1">
      <alignment horizontal="right" vertical="center"/>
    </xf>
    <xf numFmtId="0" fontId="27" fillId="0" borderId="1" xfId="0" applyFont="1" applyBorder="1" applyAlignment="1">
      <alignment horizontal="left" vertical="center"/>
    </xf>
    <xf numFmtId="0" fontId="27" fillId="0" borderId="10" xfId="0" applyFont="1" applyBorder="1" applyAlignment="1">
      <alignment horizontal="left" vertical="center" wrapText="1"/>
    </xf>
    <xf numFmtId="0" fontId="27" fillId="0" borderId="12" xfId="0" applyFont="1" applyBorder="1" applyAlignment="1">
      <alignment horizontal="left" vertical="center"/>
    </xf>
    <xf numFmtId="0" fontId="27" fillId="0" borderId="12" xfId="0" applyFont="1" applyBorder="1" applyAlignment="1">
      <alignment horizontal="left" vertical="center" wrapText="1"/>
    </xf>
    <xf numFmtId="0" fontId="27" fillId="0" borderId="1" xfId="0" applyFont="1" applyBorder="1" applyAlignment="1">
      <alignment horizontal="left" vertical="center" wrapText="1"/>
    </xf>
    <xf numFmtId="0" fontId="27" fillId="33" borderId="10" xfId="0" applyFont="1" applyFill="1" applyBorder="1" applyAlignment="1">
      <alignment horizontal="left" vertical="center"/>
    </xf>
    <xf numFmtId="0" fontId="27" fillId="33" borderId="12" xfId="0" applyFont="1" applyFill="1" applyBorder="1" applyAlignment="1">
      <alignment horizontal="left" vertical="center"/>
    </xf>
    <xf numFmtId="0" fontId="27" fillId="0" borderId="1" xfId="0" applyFont="1" applyBorder="1" applyAlignment="1">
      <alignment horizontal="center" vertical="center"/>
    </xf>
    <xf numFmtId="0" fontId="27" fillId="0" borderId="4" xfId="0" applyFont="1" applyBorder="1" applyAlignment="1">
      <alignment horizontal="center" vertical="center" textRotation="255" wrapText="1"/>
    </xf>
    <xf numFmtId="0" fontId="27" fillId="0" borderId="2" xfId="0" applyFont="1" applyBorder="1" applyAlignment="1">
      <alignment horizontal="center" vertical="center" textRotation="255" wrapText="1"/>
    </xf>
    <xf numFmtId="0" fontId="27" fillId="0" borderId="5" xfId="0" applyFont="1" applyBorder="1" applyAlignment="1">
      <alignment horizontal="center" vertical="center" textRotation="255" wrapText="1"/>
    </xf>
    <xf numFmtId="0" fontId="27" fillId="0" borderId="5" xfId="0" applyFont="1" applyBorder="1" applyAlignment="1">
      <alignment horizontal="center" vertical="center" textRotation="255"/>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left" vertical="center"/>
    </xf>
    <xf numFmtId="0" fontId="27" fillId="0" borderId="4"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45" fillId="0" borderId="1" xfId="52" applyFont="1" applyBorder="1" applyAlignment="1">
      <alignment horizontal="left" vertical="top" wrapText="1"/>
    </xf>
    <xf numFmtId="0" fontId="36" fillId="0" borderId="1" xfId="52" applyFont="1" applyBorder="1" applyAlignment="1">
      <alignment horizontal="left" vertical="center"/>
    </xf>
    <xf numFmtId="38" fontId="36" fillId="35" borderId="1" xfId="78" applyFont="1" applyFill="1" applyBorder="1" applyAlignment="1">
      <alignment horizontal="right" vertical="center"/>
    </xf>
    <xf numFmtId="0" fontId="36" fillId="0" borderId="10" xfId="52" applyFont="1" applyBorder="1" applyAlignment="1">
      <alignment horizontal="left" vertical="center"/>
    </xf>
    <xf numFmtId="0" fontId="36" fillId="0" borderId="12" xfId="52" applyFont="1" applyBorder="1" applyAlignment="1">
      <alignment horizontal="left" vertical="center"/>
    </xf>
    <xf numFmtId="0" fontId="36" fillId="0" borderId="1" xfId="52" applyFont="1" applyBorder="1" applyAlignment="1">
      <alignment horizontal="left" vertical="center" wrapText="1"/>
    </xf>
    <xf numFmtId="0" fontId="36" fillId="0" borderId="1" xfId="52" applyFont="1" applyBorder="1" applyAlignment="1">
      <alignment horizontal="left" vertical="top" wrapText="1"/>
    </xf>
    <xf numFmtId="0" fontId="36" fillId="0" borderId="10" xfId="52" applyFont="1" applyBorder="1" applyAlignment="1">
      <alignment horizontal="center" vertical="center"/>
    </xf>
    <xf numFmtId="0" fontId="36" fillId="0" borderId="12" xfId="52" applyFont="1" applyBorder="1" applyAlignment="1">
      <alignment horizontal="center" vertical="center"/>
    </xf>
    <xf numFmtId="0" fontId="36" fillId="0" borderId="1" xfId="52" applyFont="1" applyBorder="1" applyAlignment="1">
      <alignment horizontal="center" vertical="center" wrapText="1"/>
    </xf>
    <xf numFmtId="0" fontId="36" fillId="0" borderId="4" xfId="52" applyFont="1" applyBorder="1" applyAlignment="1">
      <alignment horizontal="center" vertical="center" wrapText="1"/>
    </xf>
    <xf numFmtId="0" fontId="36" fillId="0" borderId="5" xfId="52" applyFont="1" applyBorder="1" applyAlignment="1">
      <alignment horizontal="center" vertical="center" wrapText="1"/>
    </xf>
    <xf numFmtId="0" fontId="36" fillId="0" borderId="0" xfId="52" applyFont="1" applyAlignment="1">
      <alignment horizontal="left" vertical="center" wrapText="1"/>
    </xf>
    <xf numFmtId="0" fontId="36" fillId="36" borderId="1" xfId="52" applyFont="1" applyFill="1" applyBorder="1" applyAlignment="1">
      <alignment horizontal="center" vertical="center" wrapText="1"/>
    </xf>
    <xf numFmtId="38" fontId="36" fillId="36" borderId="1" xfId="78" applyFont="1" applyFill="1" applyBorder="1" applyAlignment="1">
      <alignment horizontal="center" vertical="center" wrapText="1"/>
    </xf>
    <xf numFmtId="0" fontId="36" fillId="0" borderId="4" xfId="52" applyFont="1" applyBorder="1" applyAlignment="1">
      <alignment horizontal="center" vertical="center"/>
    </xf>
    <xf numFmtId="0" fontId="36" fillId="0" borderId="5" xfId="52" applyFont="1" applyBorder="1" applyAlignment="1">
      <alignment horizontal="center" vertical="center"/>
    </xf>
    <xf numFmtId="0" fontId="36" fillId="0" borderId="1" xfId="52" applyFont="1" applyBorder="1" applyAlignment="1">
      <alignment horizontal="center" vertical="center"/>
    </xf>
    <xf numFmtId="0" fontId="36" fillId="33" borderId="22" xfId="52" applyFont="1" applyFill="1" applyBorder="1" applyAlignment="1">
      <alignment horizontal="left" vertical="center" wrapText="1"/>
    </xf>
    <xf numFmtId="0" fontId="36" fillId="34" borderId="1" xfId="52" applyFont="1" applyFill="1" applyBorder="1" applyAlignment="1">
      <alignment horizontal="left" vertical="center"/>
    </xf>
    <xf numFmtId="0" fontId="36" fillId="0" borderId="23" xfId="52" applyFont="1" applyBorder="1" applyAlignment="1">
      <alignment horizontal="left" vertical="center" wrapText="1"/>
    </xf>
    <xf numFmtId="0" fontId="36" fillId="34" borderId="10" xfId="52" applyFont="1" applyFill="1" applyBorder="1" applyAlignment="1">
      <alignment horizontal="center" vertical="center"/>
    </xf>
    <xf numFmtId="0" fontId="36" fillId="34" borderId="12" xfId="52" applyFont="1" applyFill="1" applyBorder="1" applyAlignment="1">
      <alignment horizontal="center" vertical="center"/>
    </xf>
    <xf numFmtId="183" fontId="36" fillId="0" borderId="1" xfId="52" applyNumberFormat="1" applyFont="1" applyBorder="1" applyAlignment="1">
      <alignment vertical="center"/>
    </xf>
    <xf numFmtId="180" fontId="36" fillId="0" borderId="1" xfId="52" applyNumberFormat="1" applyFont="1" applyBorder="1" applyAlignment="1">
      <alignment vertical="center"/>
    </xf>
    <xf numFmtId="180" fontId="27" fillId="0" borderId="1" xfId="55" applyNumberFormat="1" applyFont="1" applyBorder="1">
      <alignment vertical="center"/>
    </xf>
    <xf numFmtId="0" fontId="27" fillId="0" borderId="4" xfId="55" applyFont="1" applyBorder="1" applyAlignment="1">
      <alignment horizontal="left" vertical="center"/>
    </xf>
    <xf numFmtId="0" fontId="27" fillId="0" borderId="2" xfId="55" applyFont="1" applyBorder="1" applyAlignment="1">
      <alignment horizontal="left" vertical="center"/>
    </xf>
    <xf numFmtId="0" fontId="27" fillId="0" borderId="5" xfId="55" applyFont="1" applyBorder="1" applyAlignment="1">
      <alignment horizontal="left" vertical="center"/>
    </xf>
    <xf numFmtId="0" fontId="27" fillId="0" borderId="4" xfId="55" applyFont="1" applyBorder="1" applyAlignment="1">
      <alignment horizontal="left" vertical="center" shrinkToFit="1"/>
    </xf>
    <xf numFmtId="0" fontId="27" fillId="0" borderId="5" xfId="55" applyFont="1" applyBorder="1" applyAlignment="1">
      <alignment horizontal="left" vertical="center" shrinkToFit="1"/>
    </xf>
    <xf numFmtId="0" fontId="36" fillId="0" borderId="22" xfId="52" applyFont="1" applyBorder="1" applyAlignment="1">
      <alignment horizontal="left" vertical="top" wrapText="1"/>
    </xf>
    <xf numFmtId="0" fontId="27" fillId="0" borderId="22" xfId="55" applyFont="1" applyBorder="1" applyAlignment="1">
      <alignment horizontal="left" vertical="center"/>
    </xf>
    <xf numFmtId="0" fontId="32" fillId="0" borderId="1" xfId="57" quotePrefix="1" applyFont="1" applyBorder="1" applyAlignment="1">
      <alignment horizontal="center" vertical="center" wrapText="1"/>
    </xf>
    <xf numFmtId="0" fontId="32" fillId="0" borderId="1" xfId="1" applyFont="1" applyBorder="1" applyAlignment="1">
      <alignment horizontal="center" vertical="center" wrapText="1"/>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32" fillId="0" borderId="1" xfId="1" applyFont="1" applyBorder="1" applyAlignment="1">
      <alignment horizontal="center" vertical="center"/>
    </xf>
    <xf numFmtId="0" fontId="32" fillId="0" borderId="10" xfId="1" applyFont="1" applyBorder="1" applyAlignment="1">
      <alignment horizontal="center" vertical="center"/>
    </xf>
    <xf numFmtId="0" fontId="32" fillId="0" borderId="12" xfId="1" applyFont="1" applyBorder="1" applyAlignment="1">
      <alignment horizontal="center" vertical="center"/>
    </xf>
    <xf numFmtId="0" fontId="32" fillId="0" borderId="11" xfId="1" applyFont="1" applyBorder="1" applyAlignment="1">
      <alignment horizontal="center" vertical="center"/>
    </xf>
    <xf numFmtId="0" fontId="32" fillId="0" borderId="1" xfId="4" applyFont="1" applyBorder="1" applyAlignment="1">
      <alignment horizontal="left" vertical="center"/>
    </xf>
    <xf numFmtId="0" fontId="32" fillId="0" borderId="1" xfId="57" applyFont="1" applyBorder="1" applyAlignment="1">
      <alignment horizontal="center" vertical="center" wrapText="1"/>
    </xf>
    <xf numFmtId="0" fontId="32" fillId="0" borderId="10" xfId="57" applyFont="1" applyBorder="1" applyAlignment="1">
      <alignment horizontal="center" vertical="center" wrapText="1"/>
    </xf>
    <xf numFmtId="0" fontId="36" fillId="0" borderId="24" xfId="52" applyFont="1" applyBorder="1" applyAlignment="1">
      <alignment horizontal="left" vertical="top" wrapText="1"/>
    </xf>
    <xf numFmtId="0" fontId="36" fillId="0" borderId="25" xfId="52" applyFont="1" applyBorder="1" applyAlignment="1">
      <alignment horizontal="left" vertical="top" wrapText="1"/>
    </xf>
    <xf numFmtId="0" fontId="36" fillId="0" borderId="26" xfId="52" applyFont="1" applyBorder="1" applyAlignment="1">
      <alignment horizontal="left" vertical="top" wrapText="1"/>
    </xf>
    <xf numFmtId="0" fontId="36" fillId="0" borderId="27" xfId="52" applyFont="1" applyBorder="1" applyAlignment="1">
      <alignment horizontal="left" vertical="top" wrapText="1"/>
    </xf>
    <xf numFmtId="0" fontId="36" fillId="0" borderId="28" xfId="52" applyFont="1" applyBorder="1" applyAlignment="1">
      <alignment horizontal="left" vertical="top" wrapText="1"/>
    </xf>
    <xf numFmtId="0" fontId="36" fillId="0" borderId="29" xfId="52" applyFont="1" applyBorder="1" applyAlignment="1">
      <alignment horizontal="left" vertical="top" wrapText="1"/>
    </xf>
    <xf numFmtId="0" fontId="32" fillId="0" borderId="1" xfId="1" applyFont="1" applyBorder="1" applyAlignment="1">
      <alignment vertical="center" wrapText="1"/>
    </xf>
    <xf numFmtId="0" fontId="32" fillId="0" borderId="6" xfId="1" applyFont="1" applyBorder="1" applyAlignment="1">
      <alignment horizontal="center" vertical="center" wrapText="1"/>
    </xf>
    <xf numFmtId="0" fontId="32" fillId="0" borderId="7" xfId="1" applyFont="1" applyBorder="1" applyAlignment="1">
      <alignment horizontal="center" vertical="center" wrapText="1"/>
    </xf>
    <xf numFmtId="0" fontId="32" fillId="0" borderId="8" xfId="1" applyFont="1" applyBorder="1" applyAlignment="1">
      <alignment horizontal="center" vertical="center" wrapText="1"/>
    </xf>
    <xf numFmtId="0" fontId="32" fillId="0" borderId="9" xfId="1" applyFont="1" applyBorder="1" applyAlignment="1">
      <alignment horizontal="center" vertical="center" wrapText="1"/>
    </xf>
    <xf numFmtId="0" fontId="32" fillId="36" borderId="8" xfId="1" applyFont="1" applyFill="1" applyBorder="1" applyAlignment="1">
      <alignment horizontal="center" vertical="center"/>
    </xf>
    <xf numFmtId="0" fontId="32" fillId="36" borderId="23" xfId="1" applyFont="1" applyFill="1" applyBorder="1" applyAlignment="1">
      <alignment horizontal="center" vertical="center"/>
    </xf>
    <xf numFmtId="0" fontId="32" fillId="36" borderId="9" xfId="1" applyFont="1" applyFill="1" applyBorder="1" applyAlignment="1">
      <alignment horizontal="center" vertical="center"/>
    </xf>
    <xf numFmtId="0" fontId="27" fillId="0" borderId="1" xfId="59" applyFont="1" applyBorder="1" applyAlignment="1">
      <alignment horizontal="center" vertical="center"/>
    </xf>
    <xf numFmtId="0" fontId="27" fillId="0" borderId="10" xfId="59" applyFont="1" applyBorder="1" applyAlignment="1">
      <alignment horizontal="center" vertical="center"/>
    </xf>
    <xf numFmtId="0" fontId="27" fillId="0" borderId="12" xfId="59" applyFont="1" applyBorder="1" applyAlignment="1">
      <alignment horizontal="center" vertical="center"/>
    </xf>
    <xf numFmtId="38" fontId="27" fillId="0" borderId="1" xfId="78" applyFont="1" applyFill="1" applyBorder="1" applyAlignment="1">
      <alignment horizontal="center" vertical="center"/>
    </xf>
    <xf numFmtId="38" fontId="27" fillId="0" borderId="1" xfId="59" applyNumberFormat="1" applyFont="1" applyBorder="1" applyAlignment="1">
      <alignment horizontal="center" vertical="center"/>
    </xf>
    <xf numFmtId="9" fontId="54" fillId="34" borderId="0" xfId="0" applyNumberFormat="1" applyFont="1" applyFill="1" applyAlignment="1">
      <alignment horizontal="center" vertical="center" shrinkToFit="1"/>
    </xf>
    <xf numFmtId="9" fontId="55" fillId="34" borderId="0" xfId="0" applyNumberFormat="1" applyFont="1" applyFill="1" applyAlignment="1">
      <alignment horizontal="left" vertical="center"/>
    </xf>
    <xf numFmtId="0" fontId="54" fillId="34" borderId="0" xfId="0" applyFont="1" applyFill="1" applyAlignment="1">
      <alignment horizontal="center" vertical="center" shrinkToFit="1"/>
    </xf>
    <xf numFmtId="0" fontId="52" fillId="34" borderId="1" xfId="0" applyFont="1" applyFill="1" applyBorder="1" applyAlignment="1">
      <alignment horizontal="center" vertical="center"/>
    </xf>
    <xf numFmtId="9" fontId="55" fillId="34" borderId="22" xfId="0" applyNumberFormat="1" applyFont="1" applyFill="1" applyBorder="1" applyAlignment="1">
      <alignment horizontal="left" vertical="center"/>
    </xf>
    <xf numFmtId="0" fontId="52" fillId="34" borderId="1" xfId="0" applyFont="1" applyFill="1" applyBorder="1" applyAlignment="1">
      <alignment horizontal="center" vertical="center" shrinkToFit="1"/>
    </xf>
    <xf numFmtId="38" fontId="56" fillId="34" borderId="1"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1" xfId="0" applyFont="1" applyFill="1" applyBorder="1" applyAlignment="1">
      <alignment horizontal="left" vertical="center" wrapText="1"/>
    </xf>
    <xf numFmtId="0" fontId="45" fillId="0" borderId="1" xfId="52" applyFont="1" applyFill="1" applyBorder="1" applyAlignment="1">
      <alignment horizontal="left" vertical="top" wrapText="1"/>
    </xf>
    <xf numFmtId="0" fontId="45" fillId="0" borderId="1" xfId="52" applyFont="1" applyFill="1" applyBorder="1" applyAlignment="1">
      <alignment vertical="center" wrapText="1"/>
    </xf>
    <xf numFmtId="176" fontId="45" fillId="35" borderId="1" xfId="52" applyNumberFormat="1" applyFont="1" applyFill="1" applyBorder="1" applyAlignment="1">
      <alignment horizontal="right" vertical="center"/>
    </xf>
    <xf numFmtId="0" fontId="27" fillId="0" borderId="1" xfId="52" applyFont="1" applyFill="1" applyBorder="1" applyAlignment="1">
      <alignment horizontal="left" vertical="top" wrapText="1"/>
    </xf>
    <xf numFmtId="177" fontId="27" fillId="36" borderId="1" xfId="0" applyNumberFormat="1" applyFont="1" applyFill="1" applyBorder="1">
      <alignment vertical="center"/>
    </xf>
    <xf numFmtId="177" fontId="27" fillId="36" borderId="1" xfId="0" applyNumberFormat="1" applyFont="1" applyFill="1" applyBorder="1" applyAlignment="1">
      <alignment horizontal="right" vertical="center"/>
    </xf>
    <xf numFmtId="0" fontId="27" fillId="0" borderId="1" xfId="0" applyFont="1" applyFill="1" applyBorder="1">
      <alignment vertical="center"/>
    </xf>
    <xf numFmtId="0" fontId="27" fillId="0" borderId="1" xfId="0" applyFont="1" applyFill="1" applyBorder="1" applyAlignment="1">
      <alignment horizontal="left" vertical="center"/>
    </xf>
    <xf numFmtId="0" fontId="36" fillId="0" borderId="0" xfId="52" applyFont="1" applyFill="1" applyAlignment="1">
      <alignment horizontal="left" vertical="center"/>
    </xf>
    <xf numFmtId="0" fontId="25" fillId="0" borderId="0" xfId="52" applyFont="1" applyFill="1" applyAlignment="1">
      <alignment horizontal="left" vertical="center"/>
    </xf>
    <xf numFmtId="0" fontId="36" fillId="0" borderId="0" xfId="52" applyFont="1" applyFill="1" applyAlignment="1">
      <alignment horizontal="right" vertical="center"/>
    </xf>
    <xf numFmtId="0" fontId="36" fillId="0" borderId="0" xfId="52" applyFont="1" applyFill="1" applyAlignment="1">
      <alignment horizontal="left" vertical="center" wrapText="1"/>
    </xf>
    <xf numFmtId="38" fontId="36" fillId="0" borderId="0" xfId="78" applyFont="1" applyFill="1" applyBorder="1" applyAlignment="1">
      <alignment horizontal="right" vertical="center"/>
    </xf>
    <xf numFmtId="0" fontId="32" fillId="0" borderId="1" xfId="1" applyFont="1" applyFill="1" applyBorder="1" applyAlignment="1">
      <alignment vertical="center" wrapText="1"/>
    </xf>
    <xf numFmtId="176" fontId="45" fillId="35" borderId="1" xfId="56" applyNumberFormat="1" applyFont="1" applyFill="1" applyBorder="1" applyAlignment="1">
      <alignment horizontal="right" vertical="center"/>
    </xf>
    <xf numFmtId="0" fontId="27" fillId="0" borderId="1" xfId="55" applyFont="1" applyFill="1" applyBorder="1">
      <alignment vertical="center"/>
    </xf>
    <xf numFmtId="183" fontId="36" fillId="35" borderId="1" xfId="52" applyNumberFormat="1" applyFont="1" applyFill="1" applyBorder="1" applyAlignment="1">
      <alignment vertical="center"/>
    </xf>
    <xf numFmtId="0" fontId="32" fillId="0" borderId="1" xfId="57" quotePrefix="1" applyFont="1" applyFill="1" applyBorder="1" applyAlignment="1">
      <alignment horizontal="center" vertical="center" wrapText="1"/>
    </xf>
    <xf numFmtId="0" fontId="32" fillId="0" borderId="1" xfId="57" applyFont="1" applyFill="1" applyBorder="1" applyAlignment="1">
      <alignment horizontal="center" vertical="center" wrapText="1"/>
    </xf>
    <xf numFmtId="0" fontId="32" fillId="0" borderId="1" xfId="1" applyFont="1" applyFill="1" applyBorder="1" applyAlignment="1">
      <alignment horizontal="center" vertical="center" wrapText="1"/>
    </xf>
    <xf numFmtId="0" fontId="32" fillId="0" borderId="1" xfId="1" applyFont="1" applyFill="1" applyBorder="1" applyAlignment="1">
      <alignment horizontal="center" vertical="center" wrapText="1"/>
    </xf>
    <xf numFmtId="0" fontId="32" fillId="0" borderId="1" xfId="57" applyFont="1" applyFill="1" applyBorder="1" applyAlignment="1">
      <alignment horizontal="center" vertical="center" wrapText="1"/>
    </xf>
    <xf numFmtId="38" fontId="32" fillId="0" borderId="30" xfId="58" applyFont="1" applyFill="1" applyBorder="1" applyAlignment="1">
      <alignment vertical="center"/>
    </xf>
    <xf numFmtId="0" fontId="32" fillId="0" borderId="12" xfId="1" applyFont="1" applyFill="1" applyBorder="1" applyAlignment="1">
      <alignment vertical="center" wrapText="1"/>
    </xf>
    <xf numFmtId="0" fontId="32" fillId="0" borderId="0" xfId="1" applyFont="1" applyFill="1" applyAlignment="1">
      <alignment vertical="center" wrapText="1"/>
    </xf>
    <xf numFmtId="0" fontId="32" fillId="0" borderId="0" xfId="1" applyFont="1" applyFill="1">
      <alignment vertical="center"/>
    </xf>
    <xf numFmtId="38" fontId="27" fillId="0" borderId="1" xfId="59" applyNumberFormat="1" applyFont="1" applyFill="1" applyBorder="1">
      <alignment vertical="center"/>
    </xf>
    <xf numFmtId="0" fontId="52" fillId="0" borderId="0" xfId="0" applyFont="1" applyFill="1" applyAlignment="1">
      <alignment horizontal="center" vertical="center"/>
    </xf>
    <xf numFmtId="0" fontId="52" fillId="0" borderId="1" xfId="0" applyFont="1" applyFill="1" applyBorder="1" applyAlignment="1">
      <alignment horizontal="center" vertical="center"/>
    </xf>
    <xf numFmtId="0" fontId="50" fillId="0" borderId="0" xfId="0" applyFont="1" applyAlignment="1">
      <alignment horizontal="center" vertical="center"/>
    </xf>
    <xf numFmtId="0" fontId="0" fillId="0" borderId="0" xfId="0" applyFill="1">
      <alignment vertical="center"/>
    </xf>
    <xf numFmtId="0" fontId="57" fillId="33" borderId="1" xfId="0" applyFont="1" applyFill="1" applyBorder="1" applyAlignment="1">
      <alignment vertical="center" wrapText="1"/>
    </xf>
  </cellXfs>
  <cellStyles count="79">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60% - アクセント 1 2" xfId="19" xr:uid="{00000000-0005-0000-0000-00000C000000}"/>
    <cellStyle name="60% - アクセント 2 2" xfId="20" xr:uid="{00000000-0005-0000-0000-00000D000000}"/>
    <cellStyle name="60% - アクセント 3 2" xfId="21" xr:uid="{00000000-0005-0000-0000-00000E000000}"/>
    <cellStyle name="60% - アクセント 4 2" xfId="22" xr:uid="{00000000-0005-0000-0000-00000F000000}"/>
    <cellStyle name="60% - アクセント 5 2" xfId="23" xr:uid="{00000000-0005-0000-0000-000010000000}"/>
    <cellStyle name="60% - アクセント 6 2" xfId="24" xr:uid="{00000000-0005-0000-0000-000011000000}"/>
    <cellStyle name="アクセント 1 2" xfId="25" xr:uid="{00000000-0005-0000-0000-000012000000}"/>
    <cellStyle name="アクセント 2 2" xfId="26" xr:uid="{00000000-0005-0000-0000-000013000000}"/>
    <cellStyle name="アクセント 3 2" xfId="27" xr:uid="{00000000-0005-0000-0000-000014000000}"/>
    <cellStyle name="アクセント 4 2" xfId="28" xr:uid="{00000000-0005-0000-0000-000015000000}"/>
    <cellStyle name="アクセント 5 2" xfId="29" xr:uid="{00000000-0005-0000-0000-000016000000}"/>
    <cellStyle name="アクセント 6 2" xfId="30" xr:uid="{00000000-0005-0000-0000-000017000000}"/>
    <cellStyle name="タイトル 2" xfId="31" xr:uid="{00000000-0005-0000-0000-000018000000}"/>
    <cellStyle name="チェック セル 2" xfId="32" xr:uid="{00000000-0005-0000-0000-000019000000}"/>
    <cellStyle name="どちらでもない 2" xfId="33" xr:uid="{00000000-0005-0000-0000-00001A000000}"/>
    <cellStyle name="パーセント" xfId="77" builtinId="5"/>
    <cellStyle name="パーセント 2" xfId="34" xr:uid="{00000000-0005-0000-0000-00001C000000}"/>
    <cellStyle name="パーセント 3" xfId="60" xr:uid="{00000000-0005-0000-0000-00001D000000}"/>
    <cellStyle name="メモ 2" xfId="35" xr:uid="{00000000-0005-0000-0000-00001E000000}"/>
    <cellStyle name="リンク セル 2" xfId="36" xr:uid="{00000000-0005-0000-0000-00001F000000}"/>
    <cellStyle name="悪い 2" xfId="37" xr:uid="{00000000-0005-0000-0000-000020000000}"/>
    <cellStyle name="計算 2" xfId="38" xr:uid="{00000000-0005-0000-0000-000021000000}"/>
    <cellStyle name="警告文 2" xfId="39" xr:uid="{00000000-0005-0000-0000-000022000000}"/>
    <cellStyle name="桁区切り" xfId="78" builtinId="6"/>
    <cellStyle name="桁区切り 11 3" xfId="70" xr:uid="{00000000-0005-0000-0000-000023000000}"/>
    <cellStyle name="桁区切り 16" xfId="69" xr:uid="{00000000-0005-0000-0000-000024000000}"/>
    <cellStyle name="桁区切り 2" xfId="3" xr:uid="{00000000-0005-0000-0000-000025000000}"/>
    <cellStyle name="桁区切り 2 2" xfId="58" xr:uid="{00000000-0005-0000-0000-000026000000}"/>
    <cellStyle name="桁区切り 2 2 2" xfId="76" xr:uid="{00000000-0005-0000-0000-000027000000}"/>
    <cellStyle name="桁区切り 2 3" xfId="63" xr:uid="{00000000-0005-0000-0000-000028000000}"/>
    <cellStyle name="桁区切り 3" xfId="40" xr:uid="{00000000-0005-0000-0000-000029000000}"/>
    <cellStyle name="桁区切り 3 2" xfId="61" xr:uid="{00000000-0005-0000-0000-00002A000000}"/>
    <cellStyle name="桁区切り 3 3" xfId="75" xr:uid="{00000000-0005-0000-0000-00002B000000}"/>
    <cellStyle name="桁区切り 4" xfId="41" xr:uid="{00000000-0005-0000-0000-00002C000000}"/>
    <cellStyle name="桁区切り 5" xfId="56" xr:uid="{00000000-0005-0000-0000-00002D000000}"/>
    <cellStyle name="桁区切り 6" xfId="71" xr:uid="{00000000-0005-0000-0000-00002E000000}"/>
    <cellStyle name="見出し 1 2" xfId="42" xr:uid="{00000000-0005-0000-0000-00002F000000}"/>
    <cellStyle name="見出し 2 2" xfId="43" xr:uid="{00000000-0005-0000-0000-000030000000}"/>
    <cellStyle name="見出し 3 2" xfId="44" xr:uid="{00000000-0005-0000-0000-000031000000}"/>
    <cellStyle name="見出し 4 2" xfId="45" xr:uid="{00000000-0005-0000-0000-000032000000}"/>
    <cellStyle name="集計 2" xfId="46" xr:uid="{00000000-0005-0000-0000-000033000000}"/>
    <cellStyle name="出力 2" xfId="47" xr:uid="{00000000-0005-0000-0000-000034000000}"/>
    <cellStyle name="説明文 2" xfId="48" xr:uid="{00000000-0005-0000-0000-000035000000}"/>
    <cellStyle name="入力 2" xfId="49" xr:uid="{00000000-0005-0000-0000-000036000000}"/>
    <cellStyle name="標準" xfId="0" builtinId="0"/>
    <cellStyle name="標準 15" xfId="74" xr:uid="{00000000-0005-0000-0000-000038000000}"/>
    <cellStyle name="標準 16 2" xfId="73" xr:uid="{00000000-0005-0000-0000-000039000000}"/>
    <cellStyle name="標準 16 3" xfId="68" xr:uid="{00000000-0005-0000-0000-00003A000000}"/>
    <cellStyle name="標準 2" xfId="2" xr:uid="{00000000-0005-0000-0000-00003B000000}"/>
    <cellStyle name="標準 2 2" xfId="59" xr:uid="{00000000-0005-0000-0000-00003C000000}"/>
    <cellStyle name="標準 2 2 2" xfId="55" xr:uid="{00000000-0005-0000-0000-00003D000000}"/>
    <cellStyle name="標準 2 3" xfId="62" xr:uid="{00000000-0005-0000-0000-00003E000000}"/>
    <cellStyle name="標準 2 3 2" xfId="64" xr:uid="{00000000-0005-0000-0000-00003F000000}"/>
    <cellStyle name="標準 2_H19集計結果（ごみ処理状況）" xfId="65" xr:uid="{00000000-0005-0000-0000-000040000000}"/>
    <cellStyle name="標準 23" xfId="67" xr:uid="{00000000-0005-0000-0000-000041000000}"/>
    <cellStyle name="標準 3" xfId="5" xr:uid="{00000000-0005-0000-0000-000042000000}"/>
    <cellStyle name="標準 3 2" xfId="6" xr:uid="{00000000-0005-0000-0000-000043000000}"/>
    <cellStyle name="標準 4" xfId="4" xr:uid="{00000000-0005-0000-0000-000044000000}"/>
    <cellStyle name="標準 5" xfId="50" xr:uid="{00000000-0005-0000-0000-000045000000}"/>
    <cellStyle name="標準 5 2" xfId="72" xr:uid="{00000000-0005-0000-0000-000046000000}"/>
    <cellStyle name="標準 6" xfId="52" xr:uid="{00000000-0005-0000-0000-000047000000}"/>
    <cellStyle name="標準 6 2" xfId="53" xr:uid="{00000000-0005-0000-0000-000048000000}"/>
    <cellStyle name="標準 7" xfId="54" xr:uid="{00000000-0005-0000-0000-000049000000}"/>
    <cellStyle name="標準 8" xfId="66" xr:uid="{00000000-0005-0000-0000-00004A000000}"/>
    <cellStyle name="標準_①焼却施設" xfId="57" xr:uid="{00000000-0005-0000-0000-00004B000000}"/>
    <cellStyle name="標準_H19集計結果（施設整備状況）２" xfId="1" xr:uid="{00000000-0005-0000-0000-00004C000000}"/>
    <cellStyle name="良い 2" xfId="51" xr:uid="{00000000-0005-0000-0000-00004D000000}"/>
  </cellStyles>
  <dxfs count="0"/>
  <tableStyles count="0" defaultTableStyle="TableStyleMedium2" defaultPivotStyle="PivotStyleLight16"/>
  <colors>
    <mruColors>
      <color rgb="FF00FFFF"/>
      <color rgb="FFFFFFCC"/>
      <color rgb="FFFF5050"/>
      <color rgb="FFFFCCFF"/>
      <color rgb="FFFFFF99"/>
      <color rgb="FFCCECFF"/>
      <color rgb="FFCCFFCC"/>
      <color rgb="FF99FF99"/>
      <color rgb="FFFF99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xdr:col>
      <xdr:colOff>109904</xdr:colOff>
      <xdr:row>22</xdr:row>
      <xdr:rowOff>36635</xdr:rowOff>
    </xdr:from>
    <xdr:to>
      <xdr:col>5</xdr:col>
      <xdr:colOff>232019</xdr:colOff>
      <xdr:row>24</xdr:row>
      <xdr:rowOff>0</xdr:rowOff>
    </xdr:to>
    <xdr:sp macro="" textlink="">
      <xdr:nvSpPr>
        <xdr:cNvPr id="2" name="右中かっこ 1">
          <a:extLst>
            <a:ext uri="{FF2B5EF4-FFF2-40B4-BE49-F238E27FC236}">
              <a16:creationId xmlns:a16="http://schemas.microsoft.com/office/drawing/2014/main" id="{9B7E2483-DF5F-0057-D759-C3B012B825DF}"/>
            </a:ext>
          </a:extLst>
        </xdr:cNvPr>
        <xdr:cNvSpPr/>
      </xdr:nvSpPr>
      <xdr:spPr>
        <a:xfrm>
          <a:off x="4396154" y="4554904"/>
          <a:ext cx="122115" cy="35413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244230</xdr:colOff>
      <xdr:row>22</xdr:row>
      <xdr:rowOff>12211</xdr:rowOff>
    </xdr:from>
    <xdr:to>
      <xdr:col>8</xdr:col>
      <xdr:colOff>166077</xdr:colOff>
      <xdr:row>23</xdr:row>
      <xdr:rowOff>183173</xdr:rowOff>
    </xdr:to>
    <xdr:sp macro="" textlink="">
      <xdr:nvSpPr>
        <xdr:cNvPr id="3" name="テキスト ボックス 2">
          <a:extLst>
            <a:ext uri="{FF2B5EF4-FFF2-40B4-BE49-F238E27FC236}">
              <a16:creationId xmlns:a16="http://schemas.microsoft.com/office/drawing/2014/main" id="{A2DCF6DC-2331-89C0-8639-00DE175F6FBE}"/>
            </a:ext>
          </a:extLst>
        </xdr:cNvPr>
        <xdr:cNvSpPr txBox="1"/>
      </xdr:nvSpPr>
      <xdr:spPr>
        <a:xfrm>
          <a:off x="4112845" y="6928826"/>
          <a:ext cx="2354386" cy="36634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r>
            <a:rPr kumimoji="1" lang="ja-JP" altLang="en-US" sz="1100">
              <a:latin typeface="HGSｺﾞｼｯｸM" panose="020B0600000000000000" pitchFamily="50" charset="-128"/>
              <a:ea typeface="HGSｺﾞｼｯｸM" panose="020B0600000000000000" pitchFamily="50" charset="-128"/>
            </a:rPr>
            <a:t>発災時は実態に合わせて比率を調整</a:t>
          </a:r>
        </a:p>
      </xdr:txBody>
    </xdr:sp>
    <xdr:clientData/>
  </xdr:twoCellAnchor>
  <xdr:twoCellAnchor>
    <xdr:from>
      <xdr:col>6</xdr:col>
      <xdr:colOff>0</xdr:colOff>
      <xdr:row>20</xdr:row>
      <xdr:rowOff>20614</xdr:rowOff>
    </xdr:from>
    <xdr:to>
      <xdr:col>6</xdr:col>
      <xdr:colOff>124020</xdr:colOff>
      <xdr:row>21</xdr:row>
      <xdr:rowOff>174479</xdr:rowOff>
    </xdr:to>
    <xdr:sp macro="" textlink="">
      <xdr:nvSpPr>
        <xdr:cNvPr id="4" name="右中かっこ 3">
          <a:extLst>
            <a:ext uri="{FF2B5EF4-FFF2-40B4-BE49-F238E27FC236}">
              <a16:creationId xmlns:a16="http://schemas.microsoft.com/office/drawing/2014/main" id="{17009645-CA14-4D4E-BA95-2F32EEBAD070}"/>
            </a:ext>
          </a:extLst>
        </xdr:cNvPr>
        <xdr:cNvSpPr/>
      </xdr:nvSpPr>
      <xdr:spPr>
        <a:xfrm>
          <a:off x="5423647" y="7013085"/>
          <a:ext cx="124020" cy="34436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136231</xdr:colOff>
      <xdr:row>20</xdr:row>
      <xdr:rowOff>7396</xdr:rowOff>
    </xdr:from>
    <xdr:to>
      <xdr:col>9</xdr:col>
      <xdr:colOff>401874</xdr:colOff>
      <xdr:row>21</xdr:row>
      <xdr:rowOff>188326</xdr:rowOff>
    </xdr:to>
    <xdr:sp macro="" textlink="">
      <xdr:nvSpPr>
        <xdr:cNvPr id="5" name="テキスト ボックス 4">
          <a:extLst>
            <a:ext uri="{FF2B5EF4-FFF2-40B4-BE49-F238E27FC236}">
              <a16:creationId xmlns:a16="http://schemas.microsoft.com/office/drawing/2014/main" id="{92B0CDB7-9AC8-447F-998A-F9431AE20405}"/>
            </a:ext>
          </a:extLst>
        </xdr:cNvPr>
        <xdr:cNvSpPr txBox="1"/>
      </xdr:nvSpPr>
      <xdr:spPr>
        <a:xfrm>
          <a:off x="5559878" y="6999867"/>
          <a:ext cx="3358467" cy="3714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r>
            <a:rPr kumimoji="1" lang="ja-JP" altLang="en-US" sz="1100">
              <a:latin typeface="HGSｺﾞｼｯｸM" panose="020B0600000000000000" pitchFamily="50" charset="-128"/>
              <a:ea typeface="HGSｺﾞｼｯｸM" panose="020B0600000000000000" pitchFamily="50" charset="-128"/>
            </a:rPr>
            <a:t>火災焼失による建物被害の場合は発生原単位に減量率をかけあわせた数値を使用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161926</xdr:colOff>
      <xdr:row>5</xdr:row>
      <xdr:rowOff>9525</xdr:rowOff>
    </xdr:from>
    <xdr:to>
      <xdr:col>2</xdr:col>
      <xdr:colOff>114301</xdr:colOff>
      <xdr:row>32</xdr:row>
      <xdr:rowOff>47624</xdr:rowOff>
    </xdr:to>
    <xdr:sp macro="" textlink="">
      <xdr:nvSpPr>
        <xdr:cNvPr id="10" name="四角形: 角を丸くする 9">
          <a:extLst>
            <a:ext uri="{FF2B5EF4-FFF2-40B4-BE49-F238E27FC236}">
              <a16:creationId xmlns:a16="http://schemas.microsoft.com/office/drawing/2014/main" id="{F04AD78C-31CE-4AF0-9EE1-A07431313A07}"/>
            </a:ext>
          </a:extLst>
        </xdr:cNvPr>
        <xdr:cNvSpPr/>
      </xdr:nvSpPr>
      <xdr:spPr>
        <a:xfrm>
          <a:off x="161926" y="352425"/>
          <a:ext cx="1447800" cy="5181599"/>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33</xdr:row>
      <xdr:rowOff>85725</xdr:rowOff>
    </xdr:from>
    <xdr:to>
      <xdr:col>2</xdr:col>
      <xdr:colOff>95250</xdr:colOff>
      <xdr:row>42</xdr:row>
      <xdr:rowOff>123825</xdr:rowOff>
    </xdr:to>
    <xdr:sp macro="" textlink="">
      <xdr:nvSpPr>
        <xdr:cNvPr id="12" name="四角形: 角を丸くする 11">
          <a:extLst>
            <a:ext uri="{FF2B5EF4-FFF2-40B4-BE49-F238E27FC236}">
              <a16:creationId xmlns:a16="http://schemas.microsoft.com/office/drawing/2014/main" id="{424E5F34-58D1-4E9B-ABD6-47D41750F1FE}"/>
            </a:ext>
          </a:extLst>
        </xdr:cNvPr>
        <xdr:cNvSpPr/>
      </xdr:nvSpPr>
      <xdr:spPr>
        <a:xfrm>
          <a:off x="152400" y="6257925"/>
          <a:ext cx="1400175" cy="1466850"/>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3</xdr:row>
      <xdr:rowOff>156669</xdr:rowOff>
    </xdr:from>
    <xdr:to>
      <xdr:col>1</xdr:col>
      <xdr:colOff>971550</xdr:colOff>
      <xdr:row>6</xdr:row>
      <xdr:rowOff>52552</xdr:rowOff>
    </xdr:to>
    <xdr:sp macro="" textlink="">
      <xdr:nvSpPr>
        <xdr:cNvPr id="13" name="テキスト ボックス 12">
          <a:extLst>
            <a:ext uri="{FF2B5EF4-FFF2-40B4-BE49-F238E27FC236}">
              <a16:creationId xmlns:a16="http://schemas.microsoft.com/office/drawing/2014/main" id="{76E95EC8-44F7-4DBD-886C-3C73F121EC30}"/>
            </a:ext>
          </a:extLst>
        </xdr:cNvPr>
        <xdr:cNvSpPr txBox="1"/>
      </xdr:nvSpPr>
      <xdr:spPr>
        <a:xfrm>
          <a:off x="420742" y="629635"/>
          <a:ext cx="771525" cy="36884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BIZ UDPゴシック" panose="020B0400000000000000" pitchFamily="50" charset="-128"/>
              <a:ea typeface="BIZ UDPゴシック" panose="020B0400000000000000" pitchFamily="50" charset="-128"/>
            </a:rPr>
            <a:t>発生量</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（仮置場）</a:t>
          </a:r>
        </a:p>
      </xdr:txBody>
    </xdr:sp>
    <xdr:clientData/>
  </xdr:twoCellAnchor>
  <xdr:twoCellAnchor>
    <xdr:from>
      <xdr:col>1</xdr:col>
      <xdr:colOff>255270</xdr:colOff>
      <xdr:row>33</xdr:row>
      <xdr:rowOff>1905</xdr:rowOff>
    </xdr:from>
    <xdr:to>
      <xdr:col>1</xdr:col>
      <xdr:colOff>853440</xdr:colOff>
      <xdr:row>35</xdr:row>
      <xdr:rowOff>17145</xdr:rowOff>
    </xdr:to>
    <xdr:sp macro="" textlink="">
      <xdr:nvSpPr>
        <xdr:cNvPr id="14" name="テキスト ボックス 13">
          <a:extLst>
            <a:ext uri="{FF2B5EF4-FFF2-40B4-BE49-F238E27FC236}">
              <a16:creationId xmlns:a16="http://schemas.microsoft.com/office/drawing/2014/main" id="{E72A6D4B-8A7A-47C6-9D7A-923187045A6F}"/>
            </a:ext>
          </a:extLst>
        </xdr:cNvPr>
        <xdr:cNvSpPr txBox="1"/>
      </xdr:nvSpPr>
      <xdr:spPr>
        <a:xfrm>
          <a:off x="474345" y="5383530"/>
          <a:ext cx="598170" cy="23431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BIZ UDPゴシック" panose="020B0400000000000000" pitchFamily="50" charset="-128"/>
              <a:ea typeface="BIZ UDPゴシック" panose="020B0400000000000000" pitchFamily="50" charset="-128"/>
            </a:rPr>
            <a:t>発生量</a:t>
          </a:r>
        </a:p>
      </xdr:txBody>
    </xdr:sp>
    <xdr:clientData/>
  </xdr:twoCellAnchor>
  <xdr:twoCellAnchor>
    <xdr:from>
      <xdr:col>2</xdr:col>
      <xdr:colOff>317610</xdr:colOff>
      <xdr:row>5</xdr:row>
      <xdr:rowOff>9525</xdr:rowOff>
    </xdr:from>
    <xdr:to>
      <xdr:col>5</xdr:col>
      <xdr:colOff>50911</xdr:colOff>
      <xdr:row>16</xdr:row>
      <xdr:rowOff>95250</xdr:rowOff>
    </xdr:to>
    <xdr:sp macro="" textlink="">
      <xdr:nvSpPr>
        <xdr:cNvPr id="15" name="四角形: 角を丸くする 14">
          <a:extLst>
            <a:ext uri="{FF2B5EF4-FFF2-40B4-BE49-F238E27FC236}">
              <a16:creationId xmlns:a16="http://schemas.microsoft.com/office/drawing/2014/main" id="{65A652A9-2EF9-4AC5-9AA9-E53A2455B505}"/>
            </a:ext>
          </a:extLst>
        </xdr:cNvPr>
        <xdr:cNvSpPr/>
      </xdr:nvSpPr>
      <xdr:spPr>
        <a:xfrm>
          <a:off x="1626148" y="797801"/>
          <a:ext cx="1236280" cy="1861973"/>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333375</xdr:colOff>
      <xdr:row>33</xdr:row>
      <xdr:rowOff>85725</xdr:rowOff>
    </xdr:from>
    <xdr:to>
      <xdr:col>5</xdr:col>
      <xdr:colOff>76200</xdr:colOff>
      <xdr:row>42</xdr:row>
      <xdr:rowOff>95250</xdr:rowOff>
    </xdr:to>
    <xdr:sp macro="" textlink="">
      <xdr:nvSpPr>
        <xdr:cNvPr id="16" name="四角形: 角を丸くする 15">
          <a:extLst>
            <a:ext uri="{FF2B5EF4-FFF2-40B4-BE49-F238E27FC236}">
              <a16:creationId xmlns:a16="http://schemas.microsoft.com/office/drawing/2014/main" id="{A53E8E87-B044-4E0D-8068-2A9D97692D76}"/>
            </a:ext>
          </a:extLst>
        </xdr:cNvPr>
        <xdr:cNvSpPr/>
      </xdr:nvSpPr>
      <xdr:spPr>
        <a:xfrm>
          <a:off x="1790700" y="6257925"/>
          <a:ext cx="1362075" cy="1438275"/>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136636</xdr:colOff>
      <xdr:row>32</xdr:row>
      <xdr:rowOff>146160</xdr:rowOff>
    </xdr:from>
    <xdr:to>
      <xdr:col>4</xdr:col>
      <xdr:colOff>644548</xdr:colOff>
      <xdr:row>34</xdr:row>
      <xdr:rowOff>26605</xdr:rowOff>
    </xdr:to>
    <xdr:sp macro="" textlink="">
      <xdr:nvSpPr>
        <xdr:cNvPr id="19" name="テキスト ボックス 18">
          <a:extLst>
            <a:ext uri="{FF2B5EF4-FFF2-40B4-BE49-F238E27FC236}">
              <a16:creationId xmlns:a16="http://schemas.microsoft.com/office/drawing/2014/main" id="{87557E9A-6BA3-4DE2-9AB0-EF0612B8450F}"/>
            </a:ext>
          </a:extLst>
        </xdr:cNvPr>
        <xdr:cNvSpPr txBox="1"/>
      </xdr:nvSpPr>
      <xdr:spPr>
        <a:xfrm>
          <a:off x="1813036" y="5233167"/>
          <a:ext cx="902050" cy="1957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BIZ UDPゴシック" panose="020B0400000000000000" pitchFamily="50" charset="-128"/>
              <a:ea typeface="BIZ UDPゴシック" panose="020B0400000000000000" pitchFamily="50" charset="-128"/>
            </a:rPr>
            <a:t>平常時施設</a:t>
          </a:r>
        </a:p>
      </xdr:txBody>
    </xdr:sp>
    <xdr:clientData/>
  </xdr:twoCellAnchor>
  <xdr:twoCellAnchor>
    <xdr:from>
      <xdr:col>3</xdr:col>
      <xdr:colOff>157657</xdr:colOff>
      <xdr:row>4</xdr:row>
      <xdr:rowOff>67988</xdr:rowOff>
    </xdr:from>
    <xdr:to>
      <xdr:col>4</xdr:col>
      <xdr:colOff>569071</xdr:colOff>
      <xdr:row>5</xdr:row>
      <xdr:rowOff>126124</xdr:rowOff>
    </xdr:to>
    <xdr:sp macro="" textlink="">
      <xdr:nvSpPr>
        <xdr:cNvPr id="20" name="テキスト ボックス 19">
          <a:extLst>
            <a:ext uri="{FF2B5EF4-FFF2-40B4-BE49-F238E27FC236}">
              <a16:creationId xmlns:a16="http://schemas.microsoft.com/office/drawing/2014/main" id="{A29092CD-240F-46B0-AB9D-4081DA4E23E4}"/>
            </a:ext>
          </a:extLst>
        </xdr:cNvPr>
        <xdr:cNvSpPr txBox="1"/>
      </xdr:nvSpPr>
      <xdr:spPr>
        <a:xfrm>
          <a:off x="1834057" y="698609"/>
          <a:ext cx="805552" cy="21579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BIZ UDPゴシック" panose="020B0400000000000000" pitchFamily="50" charset="-128"/>
              <a:ea typeface="BIZ UDPゴシック" panose="020B0400000000000000" pitchFamily="50" charset="-128"/>
            </a:rPr>
            <a:t>平常時施設</a:t>
          </a:r>
        </a:p>
      </xdr:txBody>
    </xdr:sp>
    <xdr:clientData/>
  </xdr:twoCellAnchor>
  <xdr:twoCellAnchor>
    <xdr:from>
      <xdr:col>5</xdr:col>
      <xdr:colOff>304801</xdr:colOff>
      <xdr:row>4</xdr:row>
      <xdr:rowOff>152400</xdr:rowOff>
    </xdr:from>
    <xdr:to>
      <xdr:col>7</xdr:col>
      <xdr:colOff>57151</xdr:colOff>
      <xdr:row>32</xdr:row>
      <xdr:rowOff>47625</xdr:rowOff>
    </xdr:to>
    <xdr:sp macro="" textlink="">
      <xdr:nvSpPr>
        <xdr:cNvPr id="23" name="四角形: 角を丸くする 22">
          <a:extLst>
            <a:ext uri="{FF2B5EF4-FFF2-40B4-BE49-F238E27FC236}">
              <a16:creationId xmlns:a16="http://schemas.microsoft.com/office/drawing/2014/main" id="{A20B92A0-6ED7-47A8-9865-EBE43EA11D8D}"/>
            </a:ext>
          </a:extLst>
        </xdr:cNvPr>
        <xdr:cNvSpPr/>
      </xdr:nvSpPr>
      <xdr:spPr>
        <a:xfrm>
          <a:off x="3381376" y="495300"/>
          <a:ext cx="1371600" cy="5210175"/>
        </a:xfrm>
        <a:prstGeom prst="roundRect">
          <a:avLst/>
        </a:prstGeom>
        <a:no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33</xdr:row>
      <xdr:rowOff>95251</xdr:rowOff>
    </xdr:from>
    <xdr:to>
      <xdr:col>7</xdr:col>
      <xdr:colOff>57150</xdr:colOff>
      <xdr:row>40</xdr:row>
      <xdr:rowOff>114301</xdr:rowOff>
    </xdr:to>
    <xdr:sp macro="" textlink="">
      <xdr:nvSpPr>
        <xdr:cNvPr id="25" name="四角形: 角を丸くする 24">
          <a:extLst>
            <a:ext uri="{FF2B5EF4-FFF2-40B4-BE49-F238E27FC236}">
              <a16:creationId xmlns:a16="http://schemas.microsoft.com/office/drawing/2014/main" id="{17BA66E7-F606-4764-8179-6A377C6C7952}"/>
            </a:ext>
          </a:extLst>
        </xdr:cNvPr>
        <xdr:cNvSpPr/>
      </xdr:nvSpPr>
      <xdr:spPr>
        <a:xfrm>
          <a:off x="3400425" y="5924551"/>
          <a:ext cx="1352550" cy="1104900"/>
        </a:xfrm>
        <a:prstGeom prst="roundRect">
          <a:avLst/>
        </a:prstGeom>
        <a:no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166523</xdr:colOff>
      <xdr:row>4</xdr:row>
      <xdr:rowOff>65690</xdr:rowOff>
    </xdr:from>
    <xdr:to>
      <xdr:col>6</xdr:col>
      <xdr:colOff>928523</xdr:colOff>
      <xdr:row>5</xdr:row>
      <xdr:rowOff>84740</xdr:rowOff>
    </xdr:to>
    <xdr:sp macro="" textlink="">
      <xdr:nvSpPr>
        <xdr:cNvPr id="26" name="テキスト ボックス 25">
          <a:extLst>
            <a:ext uri="{FF2B5EF4-FFF2-40B4-BE49-F238E27FC236}">
              <a16:creationId xmlns:a16="http://schemas.microsoft.com/office/drawing/2014/main" id="{B6B53816-7165-48F4-A49E-CE26322A639F}"/>
            </a:ext>
          </a:extLst>
        </xdr:cNvPr>
        <xdr:cNvSpPr txBox="1"/>
      </xdr:nvSpPr>
      <xdr:spPr>
        <a:xfrm>
          <a:off x="3345902" y="696311"/>
          <a:ext cx="762000" cy="1767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BIZ UDPゴシック" panose="020B0400000000000000" pitchFamily="50" charset="-128"/>
              <a:ea typeface="BIZ UDPゴシック" panose="020B0400000000000000" pitchFamily="50" charset="-128"/>
            </a:rPr>
            <a:t>支援施設</a:t>
          </a:r>
        </a:p>
      </xdr:txBody>
    </xdr:sp>
    <xdr:clientData/>
  </xdr:twoCellAnchor>
  <xdr:twoCellAnchor>
    <xdr:from>
      <xdr:col>6</xdr:col>
      <xdr:colOff>175064</xdr:colOff>
      <xdr:row>33</xdr:row>
      <xdr:rowOff>19050</xdr:rowOff>
    </xdr:from>
    <xdr:to>
      <xdr:col>6</xdr:col>
      <xdr:colOff>937064</xdr:colOff>
      <xdr:row>34</xdr:row>
      <xdr:rowOff>38100</xdr:rowOff>
    </xdr:to>
    <xdr:sp macro="" textlink="">
      <xdr:nvSpPr>
        <xdr:cNvPr id="27" name="テキスト ボックス 26">
          <a:extLst>
            <a:ext uri="{FF2B5EF4-FFF2-40B4-BE49-F238E27FC236}">
              <a16:creationId xmlns:a16="http://schemas.microsoft.com/office/drawing/2014/main" id="{FAAFBFDC-CED8-47D6-B8BC-6D98C2A8652B}"/>
            </a:ext>
          </a:extLst>
        </xdr:cNvPr>
        <xdr:cNvSpPr txBox="1"/>
      </xdr:nvSpPr>
      <xdr:spPr>
        <a:xfrm>
          <a:off x="3354443" y="5263712"/>
          <a:ext cx="762000" cy="1767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BIZ UDPゴシック" panose="020B0400000000000000" pitchFamily="50" charset="-128"/>
              <a:ea typeface="BIZ UDPゴシック" panose="020B0400000000000000" pitchFamily="50" charset="-128"/>
            </a:rPr>
            <a:t>支援施設</a:t>
          </a:r>
        </a:p>
      </xdr:txBody>
    </xdr:sp>
    <xdr:clientData/>
  </xdr:twoCellAnchor>
  <xdr:twoCellAnchor>
    <xdr:from>
      <xdr:col>2</xdr:col>
      <xdr:colOff>6350</xdr:colOff>
      <xdr:row>10</xdr:row>
      <xdr:rowOff>63500</xdr:rowOff>
    </xdr:from>
    <xdr:to>
      <xdr:col>2</xdr:col>
      <xdr:colOff>654350</xdr:colOff>
      <xdr:row>10</xdr:row>
      <xdr:rowOff>63500</xdr:rowOff>
    </xdr:to>
    <xdr:cxnSp macro="">
      <xdr:nvCxnSpPr>
        <xdr:cNvPr id="5" name="直線矢印コネクタ 4">
          <a:extLst>
            <a:ext uri="{FF2B5EF4-FFF2-40B4-BE49-F238E27FC236}">
              <a16:creationId xmlns:a16="http://schemas.microsoft.com/office/drawing/2014/main" id="{6D75601A-FBE7-4359-B4DA-AD2363241AF1}"/>
            </a:ext>
          </a:extLst>
        </xdr:cNvPr>
        <xdr:cNvCxnSpPr/>
      </xdr:nvCxnSpPr>
      <xdr:spPr>
        <a:xfrm>
          <a:off x="1501775" y="1435100"/>
          <a:ext cx="648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xdr:colOff>
      <xdr:row>10</xdr:row>
      <xdr:rowOff>63500</xdr:rowOff>
    </xdr:from>
    <xdr:to>
      <xdr:col>6</xdr:col>
      <xdr:colOff>550</xdr:colOff>
      <xdr:row>10</xdr:row>
      <xdr:rowOff>63500</xdr:rowOff>
    </xdr:to>
    <xdr:cxnSp macro="">
      <xdr:nvCxnSpPr>
        <xdr:cNvPr id="49" name="直線矢印コネクタ 48">
          <a:extLst>
            <a:ext uri="{FF2B5EF4-FFF2-40B4-BE49-F238E27FC236}">
              <a16:creationId xmlns:a16="http://schemas.microsoft.com/office/drawing/2014/main" id="{142B57F0-E3D9-4FFF-A632-E0080775FE92}"/>
            </a:ext>
          </a:extLst>
        </xdr:cNvPr>
        <xdr:cNvCxnSpPr/>
      </xdr:nvCxnSpPr>
      <xdr:spPr>
        <a:xfrm>
          <a:off x="2387600" y="889000"/>
          <a:ext cx="59745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107950</xdr:colOff>
      <xdr:row>11</xdr:row>
      <xdr:rowOff>5121</xdr:rowOff>
    </xdr:from>
    <xdr:to>
      <xdr:col>6</xdr:col>
      <xdr:colOff>107950</xdr:colOff>
      <xdr:row>13</xdr:row>
      <xdr:rowOff>172884</xdr:rowOff>
    </xdr:to>
    <xdr:cxnSp macro="">
      <xdr:nvCxnSpPr>
        <xdr:cNvPr id="43" name="直線矢印コネクタ 42">
          <a:extLst>
            <a:ext uri="{FF2B5EF4-FFF2-40B4-BE49-F238E27FC236}">
              <a16:creationId xmlns:a16="http://schemas.microsoft.com/office/drawing/2014/main" id="{5EF79ADE-5812-4FC5-B052-9C990CEBCE51}"/>
            </a:ext>
          </a:extLst>
        </xdr:cNvPr>
        <xdr:cNvCxnSpPr/>
      </xdr:nvCxnSpPr>
      <xdr:spPr>
        <a:xfrm>
          <a:off x="3590208" y="1920363"/>
          <a:ext cx="0" cy="515989"/>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15</xdr:row>
      <xdr:rowOff>76200</xdr:rowOff>
    </xdr:from>
    <xdr:to>
      <xdr:col>3</xdr:col>
      <xdr:colOff>1663</xdr:colOff>
      <xdr:row>15</xdr:row>
      <xdr:rowOff>76200</xdr:rowOff>
    </xdr:to>
    <xdr:cxnSp macro="">
      <xdr:nvCxnSpPr>
        <xdr:cNvPr id="18" name="直線矢印コネクタ 17">
          <a:extLst>
            <a:ext uri="{FF2B5EF4-FFF2-40B4-BE49-F238E27FC236}">
              <a16:creationId xmlns:a16="http://schemas.microsoft.com/office/drawing/2014/main" id="{A8D39072-10AE-4588-9EAB-2A5B8CA555E9}"/>
            </a:ext>
          </a:extLst>
        </xdr:cNvPr>
        <xdr:cNvCxnSpPr/>
      </xdr:nvCxnSpPr>
      <xdr:spPr>
        <a:xfrm>
          <a:off x="1318063" y="2483069"/>
          <a:ext cx="360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15</xdr:row>
      <xdr:rowOff>98425</xdr:rowOff>
    </xdr:from>
    <xdr:to>
      <xdr:col>5</xdr:col>
      <xdr:colOff>654600</xdr:colOff>
      <xdr:row>15</xdr:row>
      <xdr:rowOff>98425</xdr:rowOff>
    </xdr:to>
    <xdr:cxnSp macro="">
      <xdr:nvCxnSpPr>
        <xdr:cNvPr id="48" name="直線矢印コネクタ 47">
          <a:extLst>
            <a:ext uri="{FF2B5EF4-FFF2-40B4-BE49-F238E27FC236}">
              <a16:creationId xmlns:a16="http://schemas.microsoft.com/office/drawing/2014/main" id="{BBC29EBE-CA64-43A3-A0D2-E13DC577F44A}"/>
            </a:ext>
          </a:extLst>
        </xdr:cNvPr>
        <xdr:cNvCxnSpPr/>
      </xdr:nvCxnSpPr>
      <xdr:spPr>
        <a:xfrm>
          <a:off x="3400425" y="2327275"/>
          <a:ext cx="6546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88900</xdr:rowOff>
    </xdr:from>
    <xdr:to>
      <xdr:col>6</xdr:col>
      <xdr:colOff>3200</xdr:colOff>
      <xdr:row>18</xdr:row>
      <xdr:rowOff>88900</xdr:rowOff>
    </xdr:to>
    <xdr:cxnSp macro="">
      <xdr:nvCxnSpPr>
        <xdr:cNvPr id="47" name="直線矢印コネクタ 46">
          <a:extLst>
            <a:ext uri="{FF2B5EF4-FFF2-40B4-BE49-F238E27FC236}">
              <a16:creationId xmlns:a16="http://schemas.microsoft.com/office/drawing/2014/main" id="{EAB46F27-5E1C-4E8E-87FC-40E72C542E66}"/>
            </a:ext>
          </a:extLst>
        </xdr:cNvPr>
        <xdr:cNvCxnSpPr/>
      </xdr:nvCxnSpPr>
      <xdr:spPr>
        <a:xfrm flipV="1">
          <a:off x="1111250" y="2235200"/>
          <a:ext cx="2340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1187450</xdr:colOff>
      <xdr:row>18</xdr:row>
      <xdr:rowOff>82550</xdr:rowOff>
    </xdr:from>
    <xdr:to>
      <xdr:col>8</xdr:col>
      <xdr:colOff>17500</xdr:colOff>
      <xdr:row>18</xdr:row>
      <xdr:rowOff>82550</xdr:rowOff>
    </xdr:to>
    <xdr:cxnSp macro="">
      <xdr:nvCxnSpPr>
        <xdr:cNvPr id="6" name="直線矢印コネクタ 5">
          <a:extLst>
            <a:ext uri="{FF2B5EF4-FFF2-40B4-BE49-F238E27FC236}">
              <a16:creationId xmlns:a16="http://schemas.microsoft.com/office/drawing/2014/main" id="{23081BD4-9A7C-4008-80AF-21E3ED35898E}"/>
            </a:ext>
          </a:extLst>
        </xdr:cNvPr>
        <xdr:cNvCxnSpPr/>
      </xdr:nvCxnSpPr>
      <xdr:spPr>
        <a:xfrm>
          <a:off x="5254625" y="2997200"/>
          <a:ext cx="716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88900</xdr:rowOff>
    </xdr:from>
    <xdr:to>
      <xdr:col>8</xdr:col>
      <xdr:colOff>2400</xdr:colOff>
      <xdr:row>21</xdr:row>
      <xdr:rowOff>88900</xdr:rowOff>
    </xdr:to>
    <xdr:cxnSp macro="">
      <xdr:nvCxnSpPr>
        <xdr:cNvPr id="37" name="直線矢印コネクタ 36">
          <a:extLst>
            <a:ext uri="{FF2B5EF4-FFF2-40B4-BE49-F238E27FC236}">
              <a16:creationId xmlns:a16="http://schemas.microsoft.com/office/drawing/2014/main" id="{B155C1E3-6B10-4DB4-9D0D-C3E3499445E3}"/>
            </a:ext>
          </a:extLst>
        </xdr:cNvPr>
        <xdr:cNvCxnSpPr/>
      </xdr:nvCxnSpPr>
      <xdr:spPr>
        <a:xfrm flipV="1">
          <a:off x="4546600" y="2895600"/>
          <a:ext cx="612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9524</xdr:colOff>
      <xdr:row>30</xdr:row>
      <xdr:rowOff>98425</xdr:rowOff>
    </xdr:from>
    <xdr:to>
      <xdr:col>6</xdr:col>
      <xdr:colOff>32699</xdr:colOff>
      <xdr:row>30</xdr:row>
      <xdr:rowOff>98425</xdr:rowOff>
    </xdr:to>
    <xdr:cxnSp macro="">
      <xdr:nvCxnSpPr>
        <xdr:cNvPr id="41" name="直線矢印コネクタ 40">
          <a:extLst>
            <a:ext uri="{FF2B5EF4-FFF2-40B4-BE49-F238E27FC236}">
              <a16:creationId xmlns:a16="http://schemas.microsoft.com/office/drawing/2014/main" id="{D8C4A4B5-39A3-468F-A5F7-A7C4E07F40F8}"/>
            </a:ext>
          </a:extLst>
        </xdr:cNvPr>
        <xdr:cNvCxnSpPr/>
      </xdr:nvCxnSpPr>
      <xdr:spPr>
        <a:xfrm flipV="1">
          <a:off x="1466849" y="5756275"/>
          <a:ext cx="2052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1196975</xdr:colOff>
      <xdr:row>30</xdr:row>
      <xdr:rowOff>88900</xdr:rowOff>
    </xdr:from>
    <xdr:to>
      <xdr:col>8</xdr:col>
      <xdr:colOff>31025</xdr:colOff>
      <xdr:row>30</xdr:row>
      <xdr:rowOff>88900</xdr:rowOff>
    </xdr:to>
    <xdr:cxnSp macro="">
      <xdr:nvCxnSpPr>
        <xdr:cNvPr id="50" name="直線矢印コネクタ 49">
          <a:extLst>
            <a:ext uri="{FF2B5EF4-FFF2-40B4-BE49-F238E27FC236}">
              <a16:creationId xmlns:a16="http://schemas.microsoft.com/office/drawing/2014/main" id="{9E3CD80B-1E47-409C-BBEC-4D1F64B36B46}"/>
            </a:ext>
          </a:extLst>
        </xdr:cNvPr>
        <xdr:cNvCxnSpPr/>
      </xdr:nvCxnSpPr>
      <xdr:spPr>
        <a:xfrm flipV="1">
          <a:off x="5264150" y="5403850"/>
          <a:ext cx="720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6350</xdr:colOff>
      <xdr:row>27</xdr:row>
      <xdr:rowOff>72916</xdr:rowOff>
    </xdr:from>
    <xdr:to>
      <xdr:col>8</xdr:col>
      <xdr:colOff>10200</xdr:colOff>
      <xdr:row>27</xdr:row>
      <xdr:rowOff>72916</xdr:rowOff>
    </xdr:to>
    <xdr:cxnSp macro="">
      <xdr:nvCxnSpPr>
        <xdr:cNvPr id="44" name="直線矢印コネクタ 43">
          <a:extLst>
            <a:ext uri="{FF2B5EF4-FFF2-40B4-BE49-F238E27FC236}">
              <a16:creationId xmlns:a16="http://schemas.microsoft.com/office/drawing/2014/main" id="{2E918718-6B4D-42E0-9489-DC106139D4CA}"/>
            </a:ext>
          </a:extLst>
        </xdr:cNvPr>
        <xdr:cNvCxnSpPr/>
      </xdr:nvCxnSpPr>
      <xdr:spPr>
        <a:xfrm>
          <a:off x="1314888" y="4371647"/>
          <a:ext cx="3330374"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24</xdr:row>
      <xdr:rowOff>76200</xdr:rowOff>
    </xdr:from>
    <xdr:to>
      <xdr:col>8</xdr:col>
      <xdr:colOff>3850</xdr:colOff>
      <xdr:row>24</xdr:row>
      <xdr:rowOff>76200</xdr:rowOff>
    </xdr:to>
    <xdr:cxnSp macro="">
      <xdr:nvCxnSpPr>
        <xdr:cNvPr id="24" name="直線矢印コネクタ 23">
          <a:extLst>
            <a:ext uri="{FF2B5EF4-FFF2-40B4-BE49-F238E27FC236}">
              <a16:creationId xmlns:a16="http://schemas.microsoft.com/office/drawing/2014/main" id="{645ED16C-8463-4477-A4BC-BBA3827C0923}"/>
            </a:ext>
          </a:extLst>
        </xdr:cNvPr>
        <xdr:cNvCxnSpPr/>
      </xdr:nvCxnSpPr>
      <xdr:spPr>
        <a:xfrm>
          <a:off x="793750" y="3543300"/>
          <a:ext cx="390275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3175</xdr:colOff>
      <xdr:row>21</xdr:row>
      <xdr:rowOff>88900</xdr:rowOff>
    </xdr:from>
    <xdr:to>
      <xdr:col>6</xdr:col>
      <xdr:colOff>6375</xdr:colOff>
      <xdr:row>21</xdr:row>
      <xdr:rowOff>88900</xdr:rowOff>
    </xdr:to>
    <xdr:cxnSp macro="">
      <xdr:nvCxnSpPr>
        <xdr:cNvPr id="46" name="直線矢印コネクタ 45">
          <a:extLst>
            <a:ext uri="{FF2B5EF4-FFF2-40B4-BE49-F238E27FC236}">
              <a16:creationId xmlns:a16="http://schemas.microsoft.com/office/drawing/2014/main" id="{EFB42A83-A457-4B0B-A2E4-B3DC98579BC4}"/>
            </a:ext>
          </a:extLst>
        </xdr:cNvPr>
        <xdr:cNvCxnSpPr/>
      </xdr:nvCxnSpPr>
      <xdr:spPr>
        <a:xfrm flipV="1">
          <a:off x="1460500" y="4032250"/>
          <a:ext cx="2032025"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38</xdr:row>
      <xdr:rowOff>63500</xdr:rowOff>
    </xdr:from>
    <xdr:to>
      <xdr:col>6</xdr:col>
      <xdr:colOff>2400</xdr:colOff>
      <xdr:row>38</xdr:row>
      <xdr:rowOff>63500</xdr:rowOff>
    </xdr:to>
    <xdr:cxnSp macro="">
      <xdr:nvCxnSpPr>
        <xdr:cNvPr id="53" name="直線矢印コネクタ 52">
          <a:extLst>
            <a:ext uri="{FF2B5EF4-FFF2-40B4-BE49-F238E27FC236}">
              <a16:creationId xmlns:a16="http://schemas.microsoft.com/office/drawing/2014/main" id="{2B48A944-0D1A-4C7B-B800-DA294AB64F2A}"/>
            </a:ext>
          </a:extLst>
        </xdr:cNvPr>
        <xdr:cNvCxnSpPr/>
      </xdr:nvCxnSpPr>
      <xdr:spPr>
        <a:xfrm flipV="1">
          <a:off x="2692400" y="6502400"/>
          <a:ext cx="612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1085850</xdr:colOff>
      <xdr:row>38</xdr:row>
      <xdr:rowOff>82550</xdr:rowOff>
    </xdr:from>
    <xdr:to>
      <xdr:col>2</xdr:col>
      <xdr:colOff>358029</xdr:colOff>
      <xdr:row>38</xdr:row>
      <xdr:rowOff>82550</xdr:rowOff>
    </xdr:to>
    <xdr:cxnSp macro="">
      <xdr:nvCxnSpPr>
        <xdr:cNvPr id="52" name="直線矢印コネクタ 51">
          <a:extLst>
            <a:ext uri="{FF2B5EF4-FFF2-40B4-BE49-F238E27FC236}">
              <a16:creationId xmlns:a16="http://schemas.microsoft.com/office/drawing/2014/main" id="{CC6CA068-69A7-415C-B0A7-E1263ABAA95D}"/>
            </a:ext>
          </a:extLst>
        </xdr:cNvPr>
        <xdr:cNvCxnSpPr/>
      </xdr:nvCxnSpPr>
      <xdr:spPr>
        <a:xfrm flipV="1">
          <a:off x="1306567" y="6031405"/>
          <a:ext cx="360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1085850</xdr:colOff>
      <xdr:row>41</xdr:row>
      <xdr:rowOff>82550</xdr:rowOff>
    </xdr:from>
    <xdr:to>
      <xdr:col>2</xdr:col>
      <xdr:colOff>358029</xdr:colOff>
      <xdr:row>41</xdr:row>
      <xdr:rowOff>82550</xdr:rowOff>
    </xdr:to>
    <xdr:cxnSp macro="">
      <xdr:nvCxnSpPr>
        <xdr:cNvPr id="51" name="直線矢印コネクタ 50">
          <a:extLst>
            <a:ext uri="{FF2B5EF4-FFF2-40B4-BE49-F238E27FC236}">
              <a16:creationId xmlns:a16="http://schemas.microsoft.com/office/drawing/2014/main" id="{713017FF-8AF0-409A-8AA5-479B66035040}"/>
            </a:ext>
          </a:extLst>
        </xdr:cNvPr>
        <xdr:cNvCxnSpPr/>
      </xdr:nvCxnSpPr>
      <xdr:spPr>
        <a:xfrm flipV="1">
          <a:off x="1306567" y="6504371"/>
          <a:ext cx="360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79375</xdr:colOff>
      <xdr:row>11</xdr:row>
      <xdr:rowOff>0</xdr:rowOff>
    </xdr:from>
    <xdr:to>
      <xdr:col>3</xdr:col>
      <xdr:colOff>79375</xdr:colOff>
      <xdr:row>12</xdr:row>
      <xdr:rowOff>154015</xdr:rowOff>
    </xdr:to>
    <xdr:cxnSp macro="">
      <xdr:nvCxnSpPr>
        <xdr:cNvPr id="17" name="直線矢印コネクタ 16">
          <a:extLst>
            <a:ext uri="{FF2B5EF4-FFF2-40B4-BE49-F238E27FC236}">
              <a16:creationId xmlns:a16="http://schemas.microsoft.com/office/drawing/2014/main" id="{9ACDBEEF-526B-4639-899B-77E65D9C572F}"/>
            </a:ext>
          </a:extLst>
        </xdr:cNvPr>
        <xdr:cNvCxnSpPr/>
      </xdr:nvCxnSpPr>
      <xdr:spPr>
        <a:xfrm>
          <a:off x="1679575" y="1775460"/>
          <a:ext cx="0" cy="32165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79375</xdr:colOff>
      <xdr:row>11</xdr:row>
      <xdr:rowOff>0</xdr:rowOff>
    </xdr:from>
    <xdr:to>
      <xdr:col>3</xdr:col>
      <xdr:colOff>79375</xdr:colOff>
      <xdr:row>12</xdr:row>
      <xdr:rowOff>154015</xdr:rowOff>
    </xdr:to>
    <xdr:cxnSp macro="">
      <xdr:nvCxnSpPr>
        <xdr:cNvPr id="7" name="直線矢印コネクタ 6">
          <a:extLst>
            <a:ext uri="{FF2B5EF4-FFF2-40B4-BE49-F238E27FC236}">
              <a16:creationId xmlns:a16="http://schemas.microsoft.com/office/drawing/2014/main" id="{E33DFCE6-D956-481A-B655-AD4425DFED9E}"/>
            </a:ext>
          </a:extLst>
        </xdr:cNvPr>
        <xdr:cNvCxnSpPr/>
      </xdr:nvCxnSpPr>
      <xdr:spPr>
        <a:xfrm>
          <a:off x="1679575" y="1764323"/>
          <a:ext cx="0" cy="3240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5</xdr:row>
      <xdr:rowOff>1</xdr:rowOff>
    </xdr:from>
    <xdr:to>
      <xdr:col>2</xdr:col>
      <xdr:colOff>85725</xdr:colOff>
      <xdr:row>32</xdr:row>
      <xdr:rowOff>76200</xdr:rowOff>
    </xdr:to>
    <xdr:sp macro="" textlink="">
      <xdr:nvSpPr>
        <xdr:cNvPr id="40" name="四角形: 角を丸くする 39">
          <a:extLst>
            <a:ext uri="{FF2B5EF4-FFF2-40B4-BE49-F238E27FC236}">
              <a16:creationId xmlns:a16="http://schemas.microsoft.com/office/drawing/2014/main" id="{13D2A161-8050-460A-B824-9A18E49FAA2E}"/>
            </a:ext>
          </a:extLst>
        </xdr:cNvPr>
        <xdr:cNvSpPr/>
      </xdr:nvSpPr>
      <xdr:spPr>
        <a:xfrm>
          <a:off x="85725" y="857251"/>
          <a:ext cx="1371600" cy="4981574"/>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33</xdr:row>
      <xdr:rowOff>85724</xdr:rowOff>
    </xdr:from>
    <xdr:to>
      <xdr:col>2</xdr:col>
      <xdr:colOff>66674</xdr:colOff>
      <xdr:row>41</xdr:row>
      <xdr:rowOff>152400</xdr:rowOff>
    </xdr:to>
    <xdr:sp macro="" textlink="">
      <xdr:nvSpPr>
        <xdr:cNvPr id="41" name="四角形: 角を丸くする 40">
          <a:extLst>
            <a:ext uri="{FF2B5EF4-FFF2-40B4-BE49-F238E27FC236}">
              <a16:creationId xmlns:a16="http://schemas.microsoft.com/office/drawing/2014/main" id="{213E7787-9D81-4210-9D45-FDF023EC6104}"/>
            </a:ext>
          </a:extLst>
        </xdr:cNvPr>
        <xdr:cNvSpPr/>
      </xdr:nvSpPr>
      <xdr:spPr>
        <a:xfrm>
          <a:off x="85725" y="6019799"/>
          <a:ext cx="1352549" cy="1438276"/>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247650</xdr:colOff>
      <xdr:row>32</xdr:row>
      <xdr:rowOff>161925</xdr:rowOff>
    </xdr:from>
    <xdr:to>
      <xdr:col>1</xdr:col>
      <xdr:colOff>866775</xdr:colOff>
      <xdr:row>34</xdr:row>
      <xdr:rowOff>38101</xdr:rowOff>
    </xdr:to>
    <xdr:sp macro="" textlink="">
      <xdr:nvSpPr>
        <xdr:cNvPr id="43" name="テキスト ボックス 42">
          <a:extLst>
            <a:ext uri="{FF2B5EF4-FFF2-40B4-BE49-F238E27FC236}">
              <a16:creationId xmlns:a16="http://schemas.microsoft.com/office/drawing/2014/main" id="{25F85184-BCB0-4725-9426-E5C690D1E3DA}"/>
            </a:ext>
          </a:extLst>
        </xdr:cNvPr>
        <xdr:cNvSpPr txBox="1"/>
      </xdr:nvSpPr>
      <xdr:spPr>
        <a:xfrm>
          <a:off x="409575" y="5753100"/>
          <a:ext cx="619125" cy="2190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BIZ UDPゴシック" panose="020B0400000000000000" pitchFamily="50" charset="-128"/>
              <a:ea typeface="BIZ UDPゴシック" panose="020B0400000000000000" pitchFamily="50" charset="-128"/>
            </a:rPr>
            <a:t>発生量</a:t>
          </a:r>
        </a:p>
      </xdr:txBody>
    </xdr:sp>
    <xdr:clientData/>
  </xdr:twoCellAnchor>
  <xdr:twoCellAnchor>
    <xdr:from>
      <xdr:col>2</xdr:col>
      <xdr:colOff>314325</xdr:colOff>
      <xdr:row>33</xdr:row>
      <xdr:rowOff>76199</xdr:rowOff>
    </xdr:from>
    <xdr:to>
      <xdr:col>5</xdr:col>
      <xdr:colOff>76200</xdr:colOff>
      <xdr:row>41</xdr:row>
      <xdr:rowOff>142874</xdr:rowOff>
    </xdr:to>
    <xdr:sp macro="" textlink="">
      <xdr:nvSpPr>
        <xdr:cNvPr id="45" name="四角形: 角を丸くする 44">
          <a:extLst>
            <a:ext uri="{FF2B5EF4-FFF2-40B4-BE49-F238E27FC236}">
              <a16:creationId xmlns:a16="http://schemas.microsoft.com/office/drawing/2014/main" id="{A996FEF1-F735-4F67-8130-8F72EC39D412}"/>
            </a:ext>
          </a:extLst>
        </xdr:cNvPr>
        <xdr:cNvSpPr/>
      </xdr:nvSpPr>
      <xdr:spPr>
        <a:xfrm>
          <a:off x="1685925" y="6010274"/>
          <a:ext cx="1390650" cy="1438275"/>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295275</xdr:colOff>
      <xdr:row>4</xdr:row>
      <xdr:rowOff>142875</xdr:rowOff>
    </xdr:from>
    <xdr:to>
      <xdr:col>7</xdr:col>
      <xdr:colOff>114301</xdr:colOff>
      <xdr:row>32</xdr:row>
      <xdr:rowOff>95250</xdr:rowOff>
    </xdr:to>
    <xdr:sp macro="" textlink="">
      <xdr:nvSpPr>
        <xdr:cNvPr id="48" name="四角形: 角を丸くする 47">
          <a:extLst>
            <a:ext uri="{FF2B5EF4-FFF2-40B4-BE49-F238E27FC236}">
              <a16:creationId xmlns:a16="http://schemas.microsoft.com/office/drawing/2014/main" id="{3F8C0F38-9DB2-4AEC-B82F-19A13326C530}"/>
            </a:ext>
          </a:extLst>
        </xdr:cNvPr>
        <xdr:cNvSpPr/>
      </xdr:nvSpPr>
      <xdr:spPr>
        <a:xfrm>
          <a:off x="3295650" y="485775"/>
          <a:ext cx="1428751" cy="5029200"/>
        </a:xfrm>
        <a:prstGeom prst="roundRect">
          <a:avLst/>
        </a:prstGeom>
        <a:no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314325</xdr:colOff>
      <xdr:row>33</xdr:row>
      <xdr:rowOff>85725</xdr:rowOff>
    </xdr:from>
    <xdr:to>
      <xdr:col>7</xdr:col>
      <xdr:colOff>114300</xdr:colOff>
      <xdr:row>39</xdr:row>
      <xdr:rowOff>123824</xdr:rowOff>
    </xdr:to>
    <xdr:sp macro="" textlink="">
      <xdr:nvSpPr>
        <xdr:cNvPr id="49" name="四角形: 角を丸くする 48">
          <a:extLst>
            <a:ext uri="{FF2B5EF4-FFF2-40B4-BE49-F238E27FC236}">
              <a16:creationId xmlns:a16="http://schemas.microsoft.com/office/drawing/2014/main" id="{F41DA50A-694A-4F28-BEA8-74261CFEDD64}"/>
            </a:ext>
          </a:extLst>
        </xdr:cNvPr>
        <xdr:cNvSpPr/>
      </xdr:nvSpPr>
      <xdr:spPr>
        <a:xfrm>
          <a:off x="3314700" y="5676900"/>
          <a:ext cx="1409700" cy="1066799"/>
        </a:xfrm>
        <a:prstGeom prst="roundRect">
          <a:avLst/>
        </a:prstGeom>
        <a:no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313591</xdr:colOff>
      <xdr:row>5</xdr:row>
      <xdr:rowOff>3663</xdr:rowOff>
    </xdr:from>
    <xdr:to>
      <xdr:col>5</xdr:col>
      <xdr:colOff>56418</xdr:colOff>
      <xdr:row>16</xdr:row>
      <xdr:rowOff>104775</xdr:rowOff>
    </xdr:to>
    <xdr:sp macro="" textlink="">
      <xdr:nvSpPr>
        <xdr:cNvPr id="64" name="四角形: 角を丸くする 63">
          <a:extLst>
            <a:ext uri="{FF2B5EF4-FFF2-40B4-BE49-F238E27FC236}">
              <a16:creationId xmlns:a16="http://schemas.microsoft.com/office/drawing/2014/main" id="{34AE0C1F-3180-4DF4-AACA-C5A96E8D7F41}"/>
            </a:ext>
          </a:extLst>
        </xdr:cNvPr>
        <xdr:cNvSpPr/>
      </xdr:nvSpPr>
      <xdr:spPr>
        <a:xfrm>
          <a:off x="1550376" y="794971"/>
          <a:ext cx="1243380" cy="1900604"/>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140677</xdr:colOff>
      <xdr:row>4</xdr:row>
      <xdr:rowOff>56417</xdr:rowOff>
    </xdr:from>
    <xdr:to>
      <xdr:col>4</xdr:col>
      <xdr:colOff>629970</xdr:colOff>
      <xdr:row>5</xdr:row>
      <xdr:rowOff>105507</xdr:rowOff>
    </xdr:to>
    <xdr:sp macro="" textlink="">
      <xdr:nvSpPr>
        <xdr:cNvPr id="65" name="テキスト ボックス 64">
          <a:extLst>
            <a:ext uri="{FF2B5EF4-FFF2-40B4-BE49-F238E27FC236}">
              <a16:creationId xmlns:a16="http://schemas.microsoft.com/office/drawing/2014/main" id="{172BDA1A-7181-4F10-84BC-BD49ADAA23B9}"/>
            </a:ext>
          </a:extLst>
        </xdr:cNvPr>
        <xdr:cNvSpPr txBox="1"/>
      </xdr:nvSpPr>
      <xdr:spPr>
        <a:xfrm>
          <a:off x="1740877" y="689463"/>
          <a:ext cx="887878" cy="20735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BIZ UDPゴシック" panose="020B0400000000000000" pitchFamily="50" charset="-128"/>
              <a:ea typeface="BIZ UDPゴシック" panose="020B0400000000000000" pitchFamily="50" charset="-128"/>
            </a:rPr>
            <a:t>平常時施設</a:t>
          </a:r>
        </a:p>
      </xdr:txBody>
    </xdr:sp>
    <xdr:clientData/>
  </xdr:twoCellAnchor>
  <xdr:twoCellAnchor>
    <xdr:from>
      <xdr:col>3</xdr:col>
      <xdr:colOff>93786</xdr:colOff>
      <xdr:row>32</xdr:row>
      <xdr:rowOff>128954</xdr:rowOff>
    </xdr:from>
    <xdr:to>
      <xdr:col>4</xdr:col>
      <xdr:colOff>658985</xdr:colOff>
      <xdr:row>34</xdr:row>
      <xdr:rowOff>5861</xdr:rowOff>
    </xdr:to>
    <xdr:sp macro="" textlink="">
      <xdr:nvSpPr>
        <xdr:cNvPr id="66" name="テキスト ボックス 65">
          <a:extLst>
            <a:ext uri="{FF2B5EF4-FFF2-40B4-BE49-F238E27FC236}">
              <a16:creationId xmlns:a16="http://schemas.microsoft.com/office/drawing/2014/main" id="{D9BEC631-8A1C-4ADC-B24A-B5CBBC501D07}"/>
            </a:ext>
          </a:extLst>
        </xdr:cNvPr>
        <xdr:cNvSpPr txBox="1"/>
      </xdr:nvSpPr>
      <xdr:spPr>
        <a:xfrm>
          <a:off x="1693986" y="5251939"/>
          <a:ext cx="963784" cy="1934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BIZ UDPゴシック" panose="020B0400000000000000" pitchFamily="50" charset="-128"/>
              <a:ea typeface="BIZ UDPゴシック" panose="020B0400000000000000" pitchFamily="50" charset="-128"/>
            </a:rPr>
            <a:t>平常時施設</a:t>
          </a:r>
        </a:p>
      </xdr:txBody>
    </xdr:sp>
    <xdr:clientData/>
  </xdr:twoCellAnchor>
  <xdr:twoCellAnchor>
    <xdr:from>
      <xdr:col>6</xdr:col>
      <xdr:colOff>172183</xdr:colOff>
      <xdr:row>4</xdr:row>
      <xdr:rowOff>43228</xdr:rowOff>
    </xdr:from>
    <xdr:to>
      <xdr:col>6</xdr:col>
      <xdr:colOff>953232</xdr:colOff>
      <xdr:row>5</xdr:row>
      <xdr:rowOff>105507</xdr:rowOff>
    </xdr:to>
    <xdr:sp macro="" textlink="">
      <xdr:nvSpPr>
        <xdr:cNvPr id="67" name="テキスト ボックス 66">
          <a:extLst>
            <a:ext uri="{FF2B5EF4-FFF2-40B4-BE49-F238E27FC236}">
              <a16:creationId xmlns:a16="http://schemas.microsoft.com/office/drawing/2014/main" id="{1026B0B9-2469-4032-8C33-E06D1CB5A6BC}"/>
            </a:ext>
          </a:extLst>
        </xdr:cNvPr>
        <xdr:cNvSpPr txBox="1"/>
      </xdr:nvSpPr>
      <xdr:spPr>
        <a:xfrm>
          <a:off x="3231906" y="676274"/>
          <a:ext cx="781049" cy="22054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BIZ UDPゴシック" panose="020B0400000000000000" pitchFamily="50" charset="-128"/>
              <a:ea typeface="BIZ UDPゴシック" panose="020B0400000000000000" pitchFamily="50" charset="-128"/>
            </a:rPr>
            <a:t>支援施設</a:t>
          </a:r>
        </a:p>
      </xdr:txBody>
    </xdr:sp>
    <xdr:clientData/>
  </xdr:twoCellAnchor>
  <xdr:twoCellAnchor>
    <xdr:from>
      <xdr:col>6</xdr:col>
      <xdr:colOff>200025</xdr:colOff>
      <xdr:row>32</xdr:row>
      <xdr:rowOff>161924</xdr:rowOff>
    </xdr:from>
    <xdr:to>
      <xdr:col>6</xdr:col>
      <xdr:colOff>895350</xdr:colOff>
      <xdr:row>34</xdr:row>
      <xdr:rowOff>47625</xdr:rowOff>
    </xdr:to>
    <xdr:sp macro="" textlink="">
      <xdr:nvSpPr>
        <xdr:cNvPr id="68" name="テキスト ボックス 67">
          <a:extLst>
            <a:ext uri="{FF2B5EF4-FFF2-40B4-BE49-F238E27FC236}">
              <a16:creationId xmlns:a16="http://schemas.microsoft.com/office/drawing/2014/main" id="{76726014-5C9C-4C22-8CA5-6C3C6A4AB084}"/>
            </a:ext>
          </a:extLst>
        </xdr:cNvPr>
        <xdr:cNvSpPr txBox="1"/>
      </xdr:nvSpPr>
      <xdr:spPr>
        <a:xfrm>
          <a:off x="4124325" y="5753099"/>
          <a:ext cx="695325" cy="22860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BIZ UDPゴシック" panose="020B0400000000000000" pitchFamily="50" charset="-128"/>
              <a:ea typeface="BIZ UDPゴシック" panose="020B0400000000000000" pitchFamily="50" charset="-128"/>
            </a:rPr>
            <a:t>支援施設</a:t>
          </a:r>
        </a:p>
      </xdr:txBody>
    </xdr:sp>
    <xdr:clientData/>
  </xdr:twoCellAnchor>
  <xdr:twoCellAnchor>
    <xdr:from>
      <xdr:col>1</xdr:col>
      <xdr:colOff>1084385</xdr:colOff>
      <xdr:row>15</xdr:row>
      <xdr:rowOff>70339</xdr:rowOff>
    </xdr:from>
    <xdr:to>
      <xdr:col>3</xdr:col>
      <xdr:colOff>0</xdr:colOff>
      <xdr:row>15</xdr:row>
      <xdr:rowOff>70339</xdr:rowOff>
    </xdr:to>
    <xdr:cxnSp macro="">
      <xdr:nvCxnSpPr>
        <xdr:cNvPr id="69" name="直線矢印コネクタ 68">
          <a:extLst>
            <a:ext uri="{FF2B5EF4-FFF2-40B4-BE49-F238E27FC236}">
              <a16:creationId xmlns:a16="http://schemas.microsoft.com/office/drawing/2014/main" id="{A439134F-78EC-4858-ABEC-472400C8DBD5}"/>
            </a:ext>
          </a:extLst>
        </xdr:cNvPr>
        <xdr:cNvCxnSpPr/>
      </xdr:nvCxnSpPr>
      <xdr:spPr>
        <a:xfrm>
          <a:off x="1230923" y="2502877"/>
          <a:ext cx="369277"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85725</xdr:rowOff>
    </xdr:from>
    <xdr:to>
      <xdr:col>2</xdr:col>
      <xdr:colOff>648000</xdr:colOff>
      <xdr:row>37</xdr:row>
      <xdr:rowOff>85725</xdr:rowOff>
    </xdr:to>
    <xdr:cxnSp macro="">
      <xdr:nvCxnSpPr>
        <xdr:cNvPr id="70" name="直線矢印コネクタ 69">
          <a:extLst>
            <a:ext uri="{FF2B5EF4-FFF2-40B4-BE49-F238E27FC236}">
              <a16:creationId xmlns:a16="http://schemas.microsoft.com/office/drawing/2014/main" id="{8EFF8CE9-9AAA-458F-B2EE-7F7D9B7EEE7D}"/>
            </a:ext>
          </a:extLst>
        </xdr:cNvPr>
        <xdr:cNvCxnSpPr/>
      </xdr:nvCxnSpPr>
      <xdr:spPr>
        <a:xfrm>
          <a:off x="1371600" y="6600825"/>
          <a:ext cx="648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40</xdr:row>
      <xdr:rowOff>104775</xdr:rowOff>
    </xdr:from>
    <xdr:to>
      <xdr:col>2</xdr:col>
      <xdr:colOff>657525</xdr:colOff>
      <xdr:row>40</xdr:row>
      <xdr:rowOff>104775</xdr:rowOff>
    </xdr:to>
    <xdr:cxnSp macro="">
      <xdr:nvCxnSpPr>
        <xdr:cNvPr id="71" name="直線矢印コネクタ 70">
          <a:extLst>
            <a:ext uri="{FF2B5EF4-FFF2-40B4-BE49-F238E27FC236}">
              <a16:creationId xmlns:a16="http://schemas.microsoft.com/office/drawing/2014/main" id="{399CFBFD-E4D1-41F3-84B0-3D4673117991}"/>
            </a:ext>
          </a:extLst>
        </xdr:cNvPr>
        <xdr:cNvCxnSpPr/>
      </xdr:nvCxnSpPr>
      <xdr:spPr>
        <a:xfrm>
          <a:off x="1381125" y="7134225"/>
          <a:ext cx="648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37</xdr:row>
      <xdr:rowOff>85725</xdr:rowOff>
    </xdr:from>
    <xdr:to>
      <xdr:col>5</xdr:col>
      <xdr:colOff>657525</xdr:colOff>
      <xdr:row>37</xdr:row>
      <xdr:rowOff>85725</xdr:rowOff>
    </xdr:to>
    <xdr:cxnSp macro="">
      <xdr:nvCxnSpPr>
        <xdr:cNvPr id="72" name="直線矢印コネクタ 71">
          <a:extLst>
            <a:ext uri="{FF2B5EF4-FFF2-40B4-BE49-F238E27FC236}">
              <a16:creationId xmlns:a16="http://schemas.microsoft.com/office/drawing/2014/main" id="{640CB385-8CDF-4A0F-A680-498059E89C5E}"/>
            </a:ext>
          </a:extLst>
        </xdr:cNvPr>
        <xdr:cNvCxnSpPr/>
      </xdr:nvCxnSpPr>
      <xdr:spPr>
        <a:xfrm>
          <a:off x="3267075" y="6600825"/>
          <a:ext cx="648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30</xdr:row>
      <xdr:rowOff>85725</xdr:rowOff>
    </xdr:from>
    <xdr:to>
      <xdr:col>7</xdr:col>
      <xdr:colOff>648000</xdr:colOff>
      <xdr:row>30</xdr:row>
      <xdr:rowOff>85725</xdr:rowOff>
    </xdr:to>
    <xdr:cxnSp macro="">
      <xdr:nvCxnSpPr>
        <xdr:cNvPr id="73" name="直線矢印コネクタ 72">
          <a:extLst>
            <a:ext uri="{FF2B5EF4-FFF2-40B4-BE49-F238E27FC236}">
              <a16:creationId xmlns:a16="http://schemas.microsoft.com/office/drawing/2014/main" id="{76697DE1-E657-42A2-B67B-BECEEE582AD4}"/>
            </a:ext>
          </a:extLst>
        </xdr:cNvPr>
        <xdr:cNvCxnSpPr/>
      </xdr:nvCxnSpPr>
      <xdr:spPr>
        <a:xfrm>
          <a:off x="5124450" y="5400675"/>
          <a:ext cx="648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85725</xdr:rowOff>
    </xdr:from>
    <xdr:to>
      <xdr:col>7</xdr:col>
      <xdr:colOff>648000</xdr:colOff>
      <xdr:row>21</xdr:row>
      <xdr:rowOff>85725</xdr:rowOff>
    </xdr:to>
    <xdr:cxnSp macro="">
      <xdr:nvCxnSpPr>
        <xdr:cNvPr id="74" name="直線矢印コネクタ 73">
          <a:extLst>
            <a:ext uri="{FF2B5EF4-FFF2-40B4-BE49-F238E27FC236}">
              <a16:creationId xmlns:a16="http://schemas.microsoft.com/office/drawing/2014/main" id="{1B4BD6DE-2918-414E-8BC2-FB52EEA0CA14}"/>
            </a:ext>
          </a:extLst>
        </xdr:cNvPr>
        <xdr:cNvCxnSpPr/>
      </xdr:nvCxnSpPr>
      <xdr:spPr>
        <a:xfrm>
          <a:off x="5124450" y="3686175"/>
          <a:ext cx="648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18</xdr:row>
      <xdr:rowOff>85725</xdr:rowOff>
    </xdr:from>
    <xdr:to>
      <xdr:col>8</xdr:col>
      <xdr:colOff>300</xdr:colOff>
      <xdr:row>18</xdr:row>
      <xdr:rowOff>85725</xdr:rowOff>
    </xdr:to>
    <xdr:cxnSp macro="">
      <xdr:nvCxnSpPr>
        <xdr:cNvPr id="75" name="直線矢印コネクタ 74">
          <a:extLst>
            <a:ext uri="{FF2B5EF4-FFF2-40B4-BE49-F238E27FC236}">
              <a16:creationId xmlns:a16="http://schemas.microsoft.com/office/drawing/2014/main" id="{E2732EF4-68E3-4E30-B8A1-D768449D5766}"/>
            </a:ext>
          </a:extLst>
        </xdr:cNvPr>
        <xdr:cNvCxnSpPr/>
      </xdr:nvCxnSpPr>
      <xdr:spPr>
        <a:xfrm>
          <a:off x="5143500" y="3000375"/>
          <a:ext cx="648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xdr:row>
      <xdr:rowOff>76200</xdr:rowOff>
    </xdr:from>
    <xdr:to>
      <xdr:col>5</xdr:col>
      <xdr:colOff>648000</xdr:colOff>
      <xdr:row>10</xdr:row>
      <xdr:rowOff>76200</xdr:rowOff>
    </xdr:to>
    <xdr:cxnSp macro="">
      <xdr:nvCxnSpPr>
        <xdr:cNvPr id="76" name="直線矢印コネクタ 75">
          <a:extLst>
            <a:ext uri="{FF2B5EF4-FFF2-40B4-BE49-F238E27FC236}">
              <a16:creationId xmlns:a16="http://schemas.microsoft.com/office/drawing/2014/main" id="{4869E82B-61AE-4835-9CF2-A102293B1132}"/>
            </a:ext>
          </a:extLst>
        </xdr:cNvPr>
        <xdr:cNvCxnSpPr/>
      </xdr:nvCxnSpPr>
      <xdr:spPr>
        <a:xfrm>
          <a:off x="3257550" y="1447800"/>
          <a:ext cx="648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15</xdr:row>
      <xdr:rowOff>95250</xdr:rowOff>
    </xdr:from>
    <xdr:to>
      <xdr:col>6</xdr:col>
      <xdr:colOff>300</xdr:colOff>
      <xdr:row>15</xdr:row>
      <xdr:rowOff>95250</xdr:rowOff>
    </xdr:to>
    <xdr:cxnSp macro="">
      <xdr:nvCxnSpPr>
        <xdr:cNvPr id="77" name="直線矢印コネクタ 76">
          <a:extLst>
            <a:ext uri="{FF2B5EF4-FFF2-40B4-BE49-F238E27FC236}">
              <a16:creationId xmlns:a16="http://schemas.microsoft.com/office/drawing/2014/main" id="{4C9F8D08-311D-4A95-92EE-E1632FFAC13A}"/>
            </a:ext>
          </a:extLst>
        </xdr:cNvPr>
        <xdr:cNvCxnSpPr/>
      </xdr:nvCxnSpPr>
      <xdr:spPr>
        <a:xfrm>
          <a:off x="3276600" y="2324100"/>
          <a:ext cx="648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21</xdr:row>
      <xdr:rowOff>85725</xdr:rowOff>
    </xdr:from>
    <xdr:to>
      <xdr:col>6</xdr:col>
      <xdr:colOff>3200</xdr:colOff>
      <xdr:row>21</xdr:row>
      <xdr:rowOff>85725</xdr:rowOff>
    </xdr:to>
    <xdr:cxnSp macro="">
      <xdr:nvCxnSpPr>
        <xdr:cNvPr id="78" name="直線矢印コネクタ 77">
          <a:extLst>
            <a:ext uri="{FF2B5EF4-FFF2-40B4-BE49-F238E27FC236}">
              <a16:creationId xmlns:a16="http://schemas.microsoft.com/office/drawing/2014/main" id="{E84731E7-DC88-49EA-AF4B-0FD2E5AF3274}"/>
            </a:ext>
          </a:extLst>
        </xdr:cNvPr>
        <xdr:cNvCxnSpPr/>
      </xdr:nvCxnSpPr>
      <xdr:spPr>
        <a:xfrm flipV="1">
          <a:off x="1371600" y="3686175"/>
          <a:ext cx="25559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30</xdr:row>
      <xdr:rowOff>95250</xdr:rowOff>
    </xdr:from>
    <xdr:to>
      <xdr:col>6</xdr:col>
      <xdr:colOff>12725</xdr:colOff>
      <xdr:row>30</xdr:row>
      <xdr:rowOff>95250</xdr:rowOff>
    </xdr:to>
    <xdr:cxnSp macro="">
      <xdr:nvCxnSpPr>
        <xdr:cNvPr id="79" name="直線矢印コネクタ 78">
          <a:extLst>
            <a:ext uri="{FF2B5EF4-FFF2-40B4-BE49-F238E27FC236}">
              <a16:creationId xmlns:a16="http://schemas.microsoft.com/office/drawing/2014/main" id="{0A800304-A7AD-4F57-91C6-5A8C225735B1}"/>
            </a:ext>
          </a:extLst>
        </xdr:cNvPr>
        <xdr:cNvCxnSpPr/>
      </xdr:nvCxnSpPr>
      <xdr:spPr>
        <a:xfrm flipV="1">
          <a:off x="1381125" y="5410200"/>
          <a:ext cx="25559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95232</xdr:colOff>
      <xdr:row>11</xdr:row>
      <xdr:rowOff>3109</xdr:rowOff>
    </xdr:from>
    <xdr:to>
      <xdr:col>6</xdr:col>
      <xdr:colOff>95232</xdr:colOff>
      <xdr:row>14</xdr:row>
      <xdr:rowOff>10241</xdr:rowOff>
    </xdr:to>
    <xdr:cxnSp macro="">
      <xdr:nvCxnSpPr>
        <xdr:cNvPr id="10" name="直線矢印コネクタ 9">
          <a:extLst>
            <a:ext uri="{FF2B5EF4-FFF2-40B4-BE49-F238E27FC236}">
              <a16:creationId xmlns:a16="http://schemas.microsoft.com/office/drawing/2014/main" id="{44597A61-4408-4DA5-9E28-2302588AD4EB}"/>
            </a:ext>
          </a:extLst>
        </xdr:cNvPr>
        <xdr:cNvCxnSpPr/>
      </xdr:nvCxnSpPr>
      <xdr:spPr>
        <a:xfrm flipH="1">
          <a:off x="3154955" y="1743986"/>
          <a:ext cx="0" cy="481917"/>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88900</xdr:rowOff>
    </xdr:from>
    <xdr:to>
      <xdr:col>6</xdr:col>
      <xdr:colOff>3200</xdr:colOff>
      <xdr:row>18</xdr:row>
      <xdr:rowOff>88900</xdr:rowOff>
    </xdr:to>
    <xdr:cxnSp macro="">
      <xdr:nvCxnSpPr>
        <xdr:cNvPr id="14" name="直線矢印コネクタ 13">
          <a:extLst>
            <a:ext uri="{FF2B5EF4-FFF2-40B4-BE49-F238E27FC236}">
              <a16:creationId xmlns:a16="http://schemas.microsoft.com/office/drawing/2014/main" id="{65F0A20E-7086-47D8-A308-06B15B8D9566}"/>
            </a:ext>
          </a:extLst>
        </xdr:cNvPr>
        <xdr:cNvCxnSpPr/>
      </xdr:nvCxnSpPr>
      <xdr:spPr>
        <a:xfrm flipV="1">
          <a:off x="1111250" y="2895600"/>
          <a:ext cx="2340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1162373</xdr:colOff>
      <xdr:row>24</xdr:row>
      <xdr:rowOff>76200</xdr:rowOff>
    </xdr:from>
    <xdr:to>
      <xdr:col>7</xdr:col>
      <xdr:colOff>625396</xdr:colOff>
      <xdr:row>24</xdr:row>
      <xdr:rowOff>76200</xdr:rowOff>
    </xdr:to>
    <xdr:cxnSp macro="">
      <xdr:nvCxnSpPr>
        <xdr:cNvPr id="5" name="直線矢印コネクタ 4">
          <a:extLst>
            <a:ext uri="{FF2B5EF4-FFF2-40B4-BE49-F238E27FC236}">
              <a16:creationId xmlns:a16="http://schemas.microsoft.com/office/drawing/2014/main" id="{FD9966A2-55A2-4815-894D-5995350A1B33}"/>
            </a:ext>
          </a:extLst>
        </xdr:cNvPr>
        <xdr:cNvCxnSpPr/>
      </xdr:nvCxnSpPr>
      <xdr:spPr>
        <a:xfrm>
          <a:off x="1323814" y="3635967"/>
          <a:ext cx="4435396"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6350</xdr:colOff>
      <xdr:row>27</xdr:row>
      <xdr:rowOff>57150</xdr:rowOff>
    </xdr:from>
    <xdr:to>
      <xdr:col>8</xdr:col>
      <xdr:colOff>10200</xdr:colOff>
      <xdr:row>27</xdr:row>
      <xdr:rowOff>57150</xdr:rowOff>
    </xdr:to>
    <xdr:cxnSp macro="">
      <xdr:nvCxnSpPr>
        <xdr:cNvPr id="6" name="直線矢印コネクタ 5">
          <a:extLst>
            <a:ext uri="{FF2B5EF4-FFF2-40B4-BE49-F238E27FC236}">
              <a16:creationId xmlns:a16="http://schemas.microsoft.com/office/drawing/2014/main" id="{961E1635-CAE2-43F2-BAD2-0B51D80AD9FF}"/>
            </a:ext>
          </a:extLst>
        </xdr:cNvPr>
        <xdr:cNvCxnSpPr/>
      </xdr:nvCxnSpPr>
      <xdr:spPr>
        <a:xfrm>
          <a:off x="1117600" y="4679950"/>
          <a:ext cx="40488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1206500</xdr:colOff>
      <xdr:row>10</xdr:row>
      <xdr:rowOff>73025</xdr:rowOff>
    </xdr:from>
    <xdr:to>
      <xdr:col>2</xdr:col>
      <xdr:colOff>644825</xdr:colOff>
      <xdr:row>10</xdr:row>
      <xdr:rowOff>73025</xdr:rowOff>
    </xdr:to>
    <xdr:cxnSp macro="">
      <xdr:nvCxnSpPr>
        <xdr:cNvPr id="2" name="直線矢印コネクタ 1">
          <a:extLst>
            <a:ext uri="{FF2B5EF4-FFF2-40B4-BE49-F238E27FC236}">
              <a16:creationId xmlns:a16="http://schemas.microsoft.com/office/drawing/2014/main" id="{7246F4F2-8701-48BC-8E1A-936F02805913}"/>
            </a:ext>
          </a:extLst>
        </xdr:cNvPr>
        <xdr:cNvCxnSpPr/>
      </xdr:nvCxnSpPr>
      <xdr:spPr>
        <a:xfrm>
          <a:off x="1368425" y="1444625"/>
          <a:ext cx="648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194536</xdr:colOff>
      <xdr:row>3</xdr:row>
      <xdr:rowOff>114713</xdr:rowOff>
    </xdr:from>
    <xdr:to>
      <xdr:col>1</xdr:col>
      <xdr:colOff>909557</xdr:colOff>
      <xdr:row>6</xdr:row>
      <xdr:rowOff>11723</xdr:rowOff>
    </xdr:to>
    <xdr:sp macro="" textlink="">
      <xdr:nvSpPr>
        <xdr:cNvPr id="4" name="テキスト ボックス 3">
          <a:extLst>
            <a:ext uri="{FF2B5EF4-FFF2-40B4-BE49-F238E27FC236}">
              <a16:creationId xmlns:a16="http://schemas.microsoft.com/office/drawing/2014/main" id="{DAAFCD16-9D40-4AD4-A5F3-F0733CF7E403}"/>
            </a:ext>
          </a:extLst>
        </xdr:cNvPr>
        <xdr:cNvSpPr txBox="1"/>
      </xdr:nvSpPr>
      <xdr:spPr>
        <a:xfrm>
          <a:off x="341074" y="589498"/>
          <a:ext cx="715021" cy="37179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BIZ UDPゴシック" panose="020B0400000000000000" pitchFamily="50" charset="-128"/>
              <a:ea typeface="BIZ UDPゴシック" panose="020B0400000000000000" pitchFamily="50" charset="-128"/>
            </a:rPr>
            <a:t>発生量</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（仮置場）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H51"/>
  <sheetViews>
    <sheetView tabSelected="1" topLeftCell="B1" workbookViewId="0">
      <selection activeCell="B1" sqref="B1"/>
    </sheetView>
  </sheetViews>
  <sheetFormatPr defaultColWidth="9" defaultRowHeight="13.2" x14ac:dyDescent="0.2"/>
  <cols>
    <col min="1" max="1" width="3.6640625" style="49" customWidth="1"/>
    <col min="2" max="2" width="5.33203125" style="49" customWidth="1"/>
    <col min="3" max="3" width="26.21875" style="49" customWidth="1"/>
    <col min="4" max="4" width="18.44140625" style="49" customWidth="1"/>
    <col min="5" max="5" width="9.109375" style="49" bestFit="1" customWidth="1"/>
    <col min="6" max="6" width="20.6640625" style="49" customWidth="1"/>
    <col min="7" max="7" width="23.109375" style="49" customWidth="1"/>
    <col min="8" max="8" width="31.109375" style="49" customWidth="1"/>
    <col min="9" max="16384" width="9" style="49"/>
  </cols>
  <sheetData>
    <row r="1" spans="2:8" s="5" customFormat="1" ht="16.2" x14ac:dyDescent="0.2">
      <c r="B1" s="6" t="s">
        <v>73</v>
      </c>
    </row>
    <row r="2" spans="2:8" s="5" customFormat="1" ht="19.5" customHeight="1" x14ac:dyDescent="0.2">
      <c r="B2" s="6"/>
    </row>
    <row r="3" spans="2:8" s="5" customFormat="1" ht="16.2" x14ac:dyDescent="0.2">
      <c r="B3" s="6"/>
      <c r="C3" s="43"/>
      <c r="D3" s="5" t="s">
        <v>312</v>
      </c>
    </row>
    <row r="4" spans="2:8" s="5" customFormat="1" ht="16.2" x14ac:dyDescent="0.2">
      <c r="B4" s="6"/>
      <c r="C4" s="44"/>
      <c r="D4" s="5" t="s">
        <v>313</v>
      </c>
    </row>
    <row r="5" spans="2:8" s="5" customFormat="1" ht="16.2" x14ac:dyDescent="0.2">
      <c r="B5" s="6"/>
      <c r="C5" s="60"/>
      <c r="D5" s="5" t="s">
        <v>240</v>
      </c>
    </row>
    <row r="6" spans="2:8" ht="19.5" customHeight="1" x14ac:dyDescent="0.2"/>
    <row r="7" spans="2:8" x14ac:dyDescent="0.2">
      <c r="B7" s="187" t="s">
        <v>31</v>
      </c>
      <c r="C7" s="187"/>
      <c r="D7" s="192" t="s">
        <v>553</v>
      </c>
      <c r="E7" s="193"/>
    </row>
    <row r="8" spans="2:8" x14ac:dyDescent="0.2">
      <c r="B8" s="187" t="s">
        <v>32</v>
      </c>
      <c r="C8" s="187"/>
      <c r="D8" s="192" t="s">
        <v>554</v>
      </c>
      <c r="E8" s="193"/>
    </row>
    <row r="9" spans="2:8" x14ac:dyDescent="0.2">
      <c r="B9" s="194" t="s">
        <v>60</v>
      </c>
      <c r="C9" s="194"/>
      <c r="D9" s="4" t="s">
        <v>59</v>
      </c>
      <c r="E9" s="4" t="s">
        <v>57</v>
      </c>
      <c r="F9" s="194" t="s">
        <v>58</v>
      </c>
      <c r="G9" s="194"/>
      <c r="H9" s="280" t="s">
        <v>281</v>
      </c>
    </row>
    <row r="10" spans="2:8" x14ac:dyDescent="0.2">
      <c r="B10" s="195" t="s">
        <v>103</v>
      </c>
      <c r="C10" s="45" t="s">
        <v>75</v>
      </c>
      <c r="D10" s="38">
        <v>4186</v>
      </c>
      <c r="E10" s="4" t="s">
        <v>77</v>
      </c>
      <c r="F10" s="187" t="s">
        <v>82</v>
      </c>
      <c r="G10" s="187"/>
      <c r="H10" s="45"/>
    </row>
    <row r="11" spans="2:8" x14ac:dyDescent="0.2">
      <c r="B11" s="196"/>
      <c r="C11" s="45" t="s">
        <v>80</v>
      </c>
      <c r="D11" s="38">
        <v>2153</v>
      </c>
      <c r="E11" s="4" t="s">
        <v>79</v>
      </c>
      <c r="F11" s="187" t="s">
        <v>83</v>
      </c>
      <c r="G11" s="187"/>
      <c r="H11" s="45"/>
    </row>
    <row r="12" spans="2:8" x14ac:dyDescent="0.2">
      <c r="B12" s="196"/>
      <c r="C12" s="45" t="s">
        <v>76</v>
      </c>
      <c r="D12" s="38">
        <v>3641</v>
      </c>
      <c r="E12" s="4" t="s">
        <v>77</v>
      </c>
      <c r="F12" s="191" t="s">
        <v>84</v>
      </c>
      <c r="G12" s="191"/>
      <c r="H12" s="45"/>
    </row>
    <row r="13" spans="2:8" x14ac:dyDescent="0.2">
      <c r="B13" s="196"/>
      <c r="C13" s="45" t="s">
        <v>81</v>
      </c>
      <c r="D13" s="38">
        <v>813</v>
      </c>
      <c r="E13" s="4" t="s">
        <v>77</v>
      </c>
      <c r="F13" s="187" t="s">
        <v>85</v>
      </c>
      <c r="G13" s="187"/>
      <c r="H13" s="45"/>
    </row>
    <row r="14" spans="2:8" x14ac:dyDescent="0.2">
      <c r="B14" s="197"/>
      <c r="C14" s="45" t="s">
        <v>34</v>
      </c>
      <c r="D14" s="38">
        <v>651</v>
      </c>
      <c r="E14" s="4" t="s">
        <v>54</v>
      </c>
      <c r="F14" s="187" t="s">
        <v>90</v>
      </c>
      <c r="G14" s="187"/>
      <c r="H14" s="45"/>
    </row>
    <row r="15" spans="2:8" x14ac:dyDescent="0.2">
      <c r="B15" s="195" t="s">
        <v>104</v>
      </c>
      <c r="C15" s="45" t="s">
        <v>33</v>
      </c>
      <c r="D15" s="38">
        <v>1763</v>
      </c>
      <c r="E15" s="4" t="s">
        <v>55</v>
      </c>
      <c r="F15" s="187" t="s">
        <v>105</v>
      </c>
      <c r="G15" s="187"/>
      <c r="H15" s="45"/>
    </row>
    <row r="16" spans="2:8" x14ac:dyDescent="0.2">
      <c r="B16" s="198"/>
      <c r="C16" s="45" t="s">
        <v>78</v>
      </c>
      <c r="D16" s="38">
        <v>200</v>
      </c>
      <c r="E16" s="4" t="s">
        <v>79</v>
      </c>
      <c r="F16" s="187" t="s">
        <v>89</v>
      </c>
      <c r="G16" s="187"/>
      <c r="H16" s="45"/>
    </row>
    <row r="17" spans="2:8" ht="42" customHeight="1" x14ac:dyDescent="0.2">
      <c r="B17" s="46" t="s">
        <v>228</v>
      </c>
      <c r="C17" s="47" t="s">
        <v>229</v>
      </c>
      <c r="D17" s="38">
        <v>2</v>
      </c>
      <c r="E17" s="4"/>
      <c r="F17" s="188" t="s">
        <v>230</v>
      </c>
      <c r="G17" s="189"/>
      <c r="H17" s="45"/>
    </row>
    <row r="18" spans="2:8" ht="13.2" customHeight="1" x14ac:dyDescent="0.2">
      <c r="B18" s="195" t="s">
        <v>231</v>
      </c>
      <c r="C18" s="45" t="s">
        <v>35</v>
      </c>
      <c r="D18" s="38">
        <v>334</v>
      </c>
      <c r="E18" s="4" t="s">
        <v>52</v>
      </c>
      <c r="F18" s="281" t="s">
        <v>547</v>
      </c>
      <c r="G18" s="281"/>
      <c r="H18" s="45"/>
    </row>
    <row r="19" spans="2:8" x14ac:dyDescent="0.2">
      <c r="B19" s="196"/>
      <c r="C19" s="45" t="s">
        <v>36</v>
      </c>
      <c r="D19" s="38">
        <v>597</v>
      </c>
      <c r="E19" s="4" t="s">
        <v>52</v>
      </c>
      <c r="F19" s="281"/>
      <c r="G19" s="281"/>
      <c r="H19" s="45"/>
    </row>
    <row r="20" spans="2:8" x14ac:dyDescent="0.2">
      <c r="B20" s="196"/>
      <c r="C20" s="45" t="s">
        <v>232</v>
      </c>
      <c r="D20" s="38">
        <v>0</v>
      </c>
      <c r="E20" s="4" t="s">
        <v>52</v>
      </c>
      <c r="F20" s="281"/>
      <c r="G20" s="281"/>
      <c r="H20" s="45"/>
    </row>
    <row r="21" spans="2:8" x14ac:dyDescent="0.2">
      <c r="B21" s="196"/>
      <c r="C21" s="45" t="s">
        <v>37</v>
      </c>
      <c r="D21" s="38">
        <v>0</v>
      </c>
      <c r="E21" s="280" t="s">
        <v>52</v>
      </c>
      <c r="F21" s="281"/>
      <c r="G21" s="281"/>
      <c r="H21" s="45"/>
    </row>
    <row r="22" spans="2:8" x14ac:dyDescent="0.2">
      <c r="B22" s="196"/>
      <c r="C22" s="45" t="s">
        <v>38</v>
      </c>
      <c r="D22" s="38">
        <v>0</v>
      </c>
      <c r="E22" s="280" t="s">
        <v>52</v>
      </c>
      <c r="F22" s="281"/>
      <c r="G22" s="281"/>
      <c r="H22" s="45"/>
    </row>
    <row r="23" spans="2:8" x14ac:dyDescent="0.2">
      <c r="B23" s="196"/>
      <c r="C23" s="45" t="s">
        <v>550</v>
      </c>
      <c r="D23" s="38">
        <v>1</v>
      </c>
      <c r="E23" s="4" t="s">
        <v>52</v>
      </c>
      <c r="F23" s="281"/>
      <c r="G23" s="281"/>
      <c r="H23" s="45"/>
    </row>
    <row r="24" spans="2:8" x14ac:dyDescent="0.2">
      <c r="B24" s="196"/>
      <c r="C24" s="45" t="s">
        <v>233</v>
      </c>
      <c r="D24" s="38">
        <v>0</v>
      </c>
      <c r="E24" s="4" t="s">
        <v>52</v>
      </c>
      <c r="F24" s="281"/>
      <c r="G24" s="281"/>
      <c r="H24" s="45"/>
    </row>
    <row r="25" spans="2:8" x14ac:dyDescent="0.2">
      <c r="B25" s="196"/>
      <c r="C25" s="45" t="s">
        <v>234</v>
      </c>
      <c r="D25" s="38">
        <v>0</v>
      </c>
      <c r="E25" s="4" t="s">
        <v>52</v>
      </c>
      <c r="F25" s="281"/>
      <c r="G25" s="281"/>
      <c r="H25" s="45"/>
    </row>
    <row r="26" spans="2:8" x14ac:dyDescent="0.2">
      <c r="B26" s="197"/>
      <c r="C26" s="45" t="s">
        <v>39</v>
      </c>
      <c r="D26" s="38">
        <v>51830000</v>
      </c>
      <c r="E26" s="4" t="s">
        <v>53</v>
      </c>
      <c r="F26" s="281"/>
      <c r="G26" s="281"/>
      <c r="H26" s="45"/>
    </row>
    <row r="27" spans="2:8" x14ac:dyDescent="0.2">
      <c r="B27" s="195" t="s">
        <v>47</v>
      </c>
      <c r="C27" s="45" t="s">
        <v>41</v>
      </c>
      <c r="D27" s="39" t="s">
        <v>555</v>
      </c>
      <c r="E27" s="4"/>
      <c r="F27" s="191" t="s">
        <v>122</v>
      </c>
      <c r="G27" s="191"/>
      <c r="H27" s="45"/>
    </row>
    <row r="28" spans="2:8" x14ac:dyDescent="0.2">
      <c r="B28" s="196"/>
      <c r="C28" s="45" t="s">
        <v>191</v>
      </c>
      <c r="D28" s="39" t="s">
        <v>194</v>
      </c>
      <c r="E28" s="4"/>
      <c r="F28" s="205" t="s">
        <v>224</v>
      </c>
      <c r="G28" s="206"/>
      <c r="H28" s="45"/>
    </row>
    <row r="29" spans="2:8" x14ac:dyDescent="0.2">
      <c r="B29" s="196"/>
      <c r="C29" s="45" t="s">
        <v>120</v>
      </c>
      <c r="D29" s="39">
        <v>2006</v>
      </c>
      <c r="E29" s="4" t="s">
        <v>70</v>
      </c>
      <c r="F29" s="191" t="s">
        <v>123</v>
      </c>
      <c r="G29" s="191"/>
      <c r="H29" s="45"/>
    </row>
    <row r="30" spans="2:8" ht="27" customHeight="1" x14ac:dyDescent="0.2">
      <c r="B30" s="196"/>
      <c r="C30" s="45" t="s">
        <v>42</v>
      </c>
      <c r="D30" s="38">
        <v>330</v>
      </c>
      <c r="E30" s="4" t="s">
        <v>46</v>
      </c>
      <c r="F30" s="191" t="s">
        <v>125</v>
      </c>
      <c r="G30" s="191"/>
      <c r="H30" s="45"/>
    </row>
    <row r="31" spans="2:8" x14ac:dyDescent="0.2">
      <c r="B31" s="196"/>
      <c r="C31" s="45" t="s">
        <v>132</v>
      </c>
      <c r="D31" s="40">
        <v>2023</v>
      </c>
      <c r="E31" s="4" t="s">
        <v>70</v>
      </c>
      <c r="F31" s="191" t="s">
        <v>127</v>
      </c>
      <c r="G31" s="191"/>
      <c r="H31" s="45"/>
    </row>
    <row r="32" spans="2:8" x14ac:dyDescent="0.2">
      <c r="B32" s="196"/>
      <c r="C32" s="45" t="s">
        <v>43</v>
      </c>
      <c r="D32" s="38">
        <v>74499</v>
      </c>
      <c r="E32" s="4" t="s">
        <v>45</v>
      </c>
      <c r="F32" s="191" t="s">
        <v>133</v>
      </c>
      <c r="G32" s="191"/>
      <c r="H32" s="45"/>
    </row>
    <row r="33" spans="2:8" x14ac:dyDescent="0.2">
      <c r="B33" s="196"/>
      <c r="C33" s="45" t="s">
        <v>121</v>
      </c>
      <c r="D33" s="38">
        <v>310</v>
      </c>
      <c r="E33" s="4" t="s">
        <v>44</v>
      </c>
      <c r="F33" s="199" t="s">
        <v>124</v>
      </c>
      <c r="G33" s="200"/>
      <c r="H33" s="45"/>
    </row>
    <row r="34" spans="2:8" ht="45.75" customHeight="1" x14ac:dyDescent="0.2">
      <c r="B34" s="196"/>
      <c r="C34" s="47" t="s">
        <v>245</v>
      </c>
      <c r="D34" s="38">
        <v>587</v>
      </c>
      <c r="E34" s="4" t="s">
        <v>45</v>
      </c>
      <c r="F34" s="188" t="s">
        <v>134</v>
      </c>
      <c r="G34" s="190"/>
      <c r="H34" s="45"/>
    </row>
    <row r="35" spans="2:8" ht="48" customHeight="1" x14ac:dyDescent="0.2">
      <c r="B35" s="197"/>
      <c r="C35" s="47" t="s">
        <v>246</v>
      </c>
      <c r="D35" s="38" t="s">
        <v>220</v>
      </c>
      <c r="E35" s="4" t="s">
        <v>217</v>
      </c>
      <c r="F35" s="188" t="s">
        <v>227</v>
      </c>
      <c r="G35" s="190"/>
      <c r="H35" s="45"/>
    </row>
    <row r="36" spans="2:8" x14ac:dyDescent="0.2">
      <c r="B36" s="195" t="s">
        <v>56</v>
      </c>
      <c r="C36" s="45" t="s">
        <v>40</v>
      </c>
      <c r="D36" s="39" t="s">
        <v>556</v>
      </c>
      <c r="E36" s="4"/>
      <c r="F36" s="191" t="s">
        <v>126</v>
      </c>
      <c r="G36" s="191"/>
      <c r="H36" s="45"/>
    </row>
    <row r="37" spans="2:8" x14ac:dyDescent="0.2">
      <c r="B37" s="196"/>
      <c r="C37" s="45" t="s">
        <v>191</v>
      </c>
      <c r="D37" s="39" t="s">
        <v>194</v>
      </c>
      <c r="E37" s="4"/>
      <c r="F37" s="188" t="s">
        <v>193</v>
      </c>
      <c r="G37" s="190"/>
      <c r="H37" s="45"/>
    </row>
    <row r="38" spans="2:8" x14ac:dyDescent="0.2">
      <c r="B38" s="196"/>
      <c r="C38" s="45" t="s">
        <v>132</v>
      </c>
      <c r="D38" s="41">
        <v>2023</v>
      </c>
      <c r="E38" s="4" t="s">
        <v>70</v>
      </c>
      <c r="F38" s="191" t="s">
        <v>128</v>
      </c>
      <c r="G38" s="191"/>
      <c r="H38" s="45"/>
    </row>
    <row r="39" spans="2:8" ht="28.8" customHeight="1" x14ac:dyDescent="0.2">
      <c r="B39" s="196"/>
      <c r="C39" s="45" t="s">
        <v>558</v>
      </c>
      <c r="D39" s="38">
        <v>11840</v>
      </c>
      <c r="E39" s="4" t="s">
        <v>51</v>
      </c>
      <c r="F39" s="191" t="s">
        <v>559</v>
      </c>
      <c r="G39" s="191"/>
      <c r="H39" s="45"/>
    </row>
    <row r="40" spans="2:8" x14ac:dyDescent="0.2">
      <c r="B40" s="196"/>
      <c r="C40" s="45" t="s">
        <v>118</v>
      </c>
      <c r="D40" s="38">
        <v>13615</v>
      </c>
      <c r="E40" s="4" t="s">
        <v>50</v>
      </c>
      <c r="F40" s="191" t="s">
        <v>130</v>
      </c>
      <c r="G40" s="191"/>
      <c r="H40" s="45"/>
    </row>
    <row r="41" spans="2:8" x14ac:dyDescent="0.2">
      <c r="B41" s="196"/>
      <c r="C41" s="45" t="s">
        <v>48</v>
      </c>
      <c r="D41" s="38">
        <v>151949</v>
      </c>
      <c r="E41" s="4" t="s">
        <v>49</v>
      </c>
      <c r="F41" s="191" t="s">
        <v>129</v>
      </c>
      <c r="G41" s="191"/>
      <c r="H41" s="45"/>
    </row>
    <row r="42" spans="2:8" ht="42" customHeight="1" x14ac:dyDescent="0.2">
      <c r="B42" s="196"/>
      <c r="C42" s="47" t="s">
        <v>245</v>
      </c>
      <c r="D42" s="38">
        <v>130</v>
      </c>
      <c r="E42" s="4" t="s">
        <v>119</v>
      </c>
      <c r="F42" s="188" t="s">
        <v>131</v>
      </c>
      <c r="G42" s="190"/>
      <c r="H42" s="45"/>
    </row>
    <row r="43" spans="2:8" ht="42" customHeight="1" x14ac:dyDescent="0.2">
      <c r="B43" s="197"/>
      <c r="C43" s="47" t="s">
        <v>246</v>
      </c>
      <c r="D43" s="38" t="s">
        <v>220</v>
      </c>
      <c r="E43" s="4" t="s">
        <v>217</v>
      </c>
      <c r="F43" s="188" t="s">
        <v>227</v>
      </c>
      <c r="G43" s="190"/>
      <c r="H43" s="45"/>
    </row>
    <row r="44" spans="2:8" ht="29.25" customHeight="1" x14ac:dyDescent="0.2">
      <c r="B44" s="202" t="s">
        <v>186</v>
      </c>
      <c r="C44" s="45" t="s">
        <v>187</v>
      </c>
      <c r="D44" s="313" t="s">
        <v>557</v>
      </c>
      <c r="E44" s="45"/>
      <c r="F44" s="207"/>
      <c r="G44" s="208"/>
      <c r="H44" s="45"/>
    </row>
    <row r="45" spans="2:8" ht="12.9" customHeight="1" x14ac:dyDescent="0.2">
      <c r="B45" s="203"/>
      <c r="C45" s="45" t="s">
        <v>191</v>
      </c>
      <c r="D45" s="39" t="s">
        <v>194</v>
      </c>
      <c r="E45" s="4"/>
      <c r="F45" s="188" t="s">
        <v>193</v>
      </c>
      <c r="G45" s="190"/>
      <c r="H45" s="45"/>
    </row>
    <row r="46" spans="2:8" x14ac:dyDescent="0.2">
      <c r="B46" s="203"/>
      <c r="C46" s="45" t="s">
        <v>42</v>
      </c>
      <c r="D46" s="38">
        <v>170</v>
      </c>
      <c r="E46" s="4" t="s">
        <v>297</v>
      </c>
      <c r="F46" s="207"/>
      <c r="G46" s="208"/>
      <c r="H46" s="45"/>
    </row>
    <row r="47" spans="2:8" x14ac:dyDescent="0.2">
      <c r="B47" s="203"/>
      <c r="C47" s="45" t="s">
        <v>202</v>
      </c>
      <c r="D47" s="38">
        <v>300</v>
      </c>
      <c r="E47" s="4" t="s">
        <v>203</v>
      </c>
      <c r="F47" s="101"/>
      <c r="G47" s="102"/>
      <c r="H47" s="45"/>
    </row>
    <row r="48" spans="2:8" x14ac:dyDescent="0.2">
      <c r="B48" s="203"/>
      <c r="C48" s="45" t="s">
        <v>190</v>
      </c>
      <c r="D48" s="38">
        <v>48504</v>
      </c>
      <c r="E48" s="4" t="s">
        <v>298</v>
      </c>
      <c r="F48" s="194"/>
      <c r="G48" s="194"/>
      <c r="H48" s="45"/>
    </row>
    <row r="49" spans="2:8" ht="44.25" customHeight="1" x14ac:dyDescent="0.2">
      <c r="B49" s="203"/>
      <c r="C49" s="47" t="s">
        <v>245</v>
      </c>
      <c r="D49" s="38">
        <v>1781</v>
      </c>
      <c r="E49" s="4" t="s">
        <v>299</v>
      </c>
      <c r="F49" s="188" t="s">
        <v>134</v>
      </c>
      <c r="G49" s="190"/>
      <c r="H49" s="45"/>
    </row>
    <row r="50" spans="2:8" ht="47.25" customHeight="1" x14ac:dyDescent="0.2">
      <c r="B50" s="204"/>
      <c r="C50" s="47" t="s">
        <v>246</v>
      </c>
      <c r="D50" s="38" t="s">
        <v>220</v>
      </c>
      <c r="E50" s="4" t="s">
        <v>217</v>
      </c>
      <c r="F50" s="188" t="s">
        <v>218</v>
      </c>
      <c r="G50" s="190"/>
      <c r="H50" s="45"/>
    </row>
    <row r="51" spans="2:8" x14ac:dyDescent="0.2">
      <c r="B51" s="194" t="s">
        <v>214</v>
      </c>
      <c r="C51" s="194"/>
      <c r="D51" s="42">
        <v>2.7</v>
      </c>
      <c r="E51" s="4" t="s">
        <v>215</v>
      </c>
      <c r="F51" s="201" t="s">
        <v>216</v>
      </c>
      <c r="G51" s="189"/>
      <c r="H51" s="45"/>
    </row>
  </sheetData>
  <mergeCells count="46">
    <mergeCell ref="B51:C51"/>
    <mergeCell ref="F51:G51"/>
    <mergeCell ref="B27:B35"/>
    <mergeCell ref="F35:G35"/>
    <mergeCell ref="F43:G43"/>
    <mergeCell ref="B36:B43"/>
    <mergeCell ref="F50:G50"/>
    <mergeCell ref="B44:B50"/>
    <mergeCell ref="F28:G28"/>
    <mergeCell ref="F37:G37"/>
    <mergeCell ref="F45:G45"/>
    <mergeCell ref="F44:G44"/>
    <mergeCell ref="F46:G46"/>
    <mergeCell ref="F48:G48"/>
    <mergeCell ref="F49:G49"/>
    <mergeCell ref="F36:G36"/>
    <mergeCell ref="B15:B16"/>
    <mergeCell ref="F42:G42"/>
    <mergeCell ref="F39:G39"/>
    <mergeCell ref="F40:G40"/>
    <mergeCell ref="F41:G41"/>
    <mergeCell ref="F38:G38"/>
    <mergeCell ref="B18:B26"/>
    <mergeCell ref="F18:G26"/>
    <mergeCell ref="F33:G33"/>
    <mergeCell ref="F11:G11"/>
    <mergeCell ref="F10:G10"/>
    <mergeCell ref="F9:G9"/>
    <mergeCell ref="B9:C9"/>
    <mergeCell ref="B10:B14"/>
    <mergeCell ref="B8:C8"/>
    <mergeCell ref="B7:C7"/>
    <mergeCell ref="F17:G17"/>
    <mergeCell ref="F34:G34"/>
    <mergeCell ref="F32:G32"/>
    <mergeCell ref="F30:G30"/>
    <mergeCell ref="F29:G29"/>
    <mergeCell ref="F27:G27"/>
    <mergeCell ref="F31:G31"/>
    <mergeCell ref="D8:E8"/>
    <mergeCell ref="D7:E7"/>
    <mergeCell ref="F16:G16"/>
    <mergeCell ref="F15:G15"/>
    <mergeCell ref="F14:G14"/>
    <mergeCell ref="F13:G13"/>
    <mergeCell ref="F12:G12"/>
  </mergeCells>
  <phoneticPr fontId="2"/>
  <pageMargins left="0.51181102362204722" right="0.70866141732283472" top="0.74803149606299213" bottom="0.74803149606299213" header="0.31496062992125984" footer="0.31496062992125984"/>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4D5D-AF2D-4B78-B116-7BA3E9BC781B}">
  <sheetPr>
    <tabColor rgb="FF92D050"/>
  </sheetPr>
  <dimension ref="A1:L52"/>
  <sheetViews>
    <sheetView zoomScaleNormal="100" workbookViewId="0"/>
  </sheetViews>
  <sheetFormatPr defaultColWidth="8.77734375" defaultRowHeight="12.6" x14ac:dyDescent="0.2"/>
  <cols>
    <col min="1" max="1" width="3.21875" style="157" customWidth="1"/>
    <col min="2" max="2" width="15.88671875" style="161" customWidth="1"/>
    <col min="3" max="3" width="5.33203125" style="157" customWidth="1"/>
    <col min="4" max="4" width="5.77734375" style="157" customWidth="1"/>
    <col min="5" max="5" width="10.77734375" style="161" customWidth="1"/>
    <col min="6" max="6" width="5.33203125" style="161" customWidth="1"/>
    <col min="7" max="7" width="15.77734375" style="161" customWidth="1"/>
    <col min="8" max="8" width="6" style="157" customWidth="1"/>
    <col min="9" max="9" width="16.109375" style="161" customWidth="1"/>
    <col min="10" max="10" width="1.88671875" style="157" customWidth="1"/>
    <col min="11" max="11" width="3" style="157" customWidth="1"/>
    <col min="12" max="16384" width="8.77734375" style="157"/>
  </cols>
  <sheetData>
    <row r="1" spans="1:12" x14ac:dyDescent="0.2">
      <c r="A1" s="153"/>
      <c r="B1" s="154" t="str">
        <f>入力用シート!D7</f>
        <v>U町</v>
      </c>
      <c r="C1" s="153"/>
      <c r="D1" s="153"/>
      <c r="E1" s="155"/>
      <c r="F1" s="155"/>
      <c r="G1" s="155"/>
      <c r="H1" s="153"/>
      <c r="I1" s="156" t="s">
        <v>211</v>
      </c>
      <c r="J1" s="153"/>
    </row>
    <row r="2" spans="1:12" x14ac:dyDescent="0.2">
      <c r="A2" s="153"/>
      <c r="B2" s="158" t="str">
        <f>CONCATENATE("(",入力用シート!D8,")")</f>
        <v>(Ｔ平野断層帯地震)</v>
      </c>
      <c r="C2" s="153"/>
      <c r="D2" s="153"/>
      <c r="E2" s="155"/>
      <c r="F2" s="155"/>
      <c r="G2" s="155"/>
      <c r="H2" s="153"/>
      <c r="I2" s="155"/>
      <c r="J2" s="153"/>
    </row>
    <row r="3" spans="1:12" x14ac:dyDescent="0.2">
      <c r="A3" s="153"/>
      <c r="B3" s="153" t="s">
        <v>214</v>
      </c>
      <c r="C3" s="155" t="str">
        <f>CONCATENATE('処理フロー(計算)'!B36,"年")</f>
        <v>2.7年</v>
      </c>
      <c r="D3" s="155"/>
      <c r="E3" s="155"/>
      <c r="F3" s="155"/>
      <c r="G3" s="155"/>
      <c r="H3" s="153"/>
      <c r="I3" s="155"/>
      <c r="J3" s="153"/>
      <c r="L3" s="159"/>
    </row>
    <row r="4" spans="1:12" x14ac:dyDescent="0.2">
      <c r="A4" s="153"/>
      <c r="B4" s="153"/>
      <c r="C4" s="153"/>
      <c r="D4" s="153"/>
      <c r="E4" s="155"/>
      <c r="F4" s="155"/>
      <c r="G4" s="155"/>
      <c r="I4" s="155"/>
      <c r="L4" s="160"/>
    </row>
    <row r="5" spans="1:12" x14ac:dyDescent="0.2">
      <c r="A5" s="153"/>
      <c r="B5" s="153"/>
      <c r="C5" s="153"/>
      <c r="D5" s="153"/>
      <c r="E5" s="155"/>
      <c r="F5" s="155"/>
      <c r="G5" s="155"/>
      <c r="H5" s="153"/>
      <c r="J5" s="153"/>
    </row>
    <row r="6" spans="1:12" x14ac:dyDescent="0.2">
      <c r="A6" s="153"/>
      <c r="B6" s="162"/>
      <c r="C6" s="163"/>
      <c r="D6" s="163"/>
      <c r="E6" s="162"/>
      <c r="F6" s="162"/>
      <c r="G6" s="162"/>
      <c r="H6" s="163"/>
      <c r="I6" s="162"/>
      <c r="J6" s="163"/>
    </row>
    <row r="7" spans="1:12" ht="13.2" customHeight="1" x14ac:dyDescent="0.15">
      <c r="A7" s="153"/>
      <c r="B7" s="164" t="s">
        <v>325</v>
      </c>
      <c r="C7" s="163"/>
      <c r="D7" s="311"/>
      <c r="E7" s="311"/>
      <c r="F7" s="162"/>
      <c r="G7" s="162"/>
      <c r="H7" s="163"/>
      <c r="I7" s="162"/>
      <c r="J7" s="163"/>
    </row>
    <row r="8" spans="1:12" x14ac:dyDescent="0.2">
      <c r="A8" s="153"/>
      <c r="B8" s="155" t="e">
        <f>CONCATENATE(ROUNDDOWN(仮置場!G28,1),"ha")</f>
        <v>#N/A</v>
      </c>
      <c r="C8" s="163"/>
      <c r="D8" s="275" t="str">
        <f>入力用シート!D27</f>
        <v>Cセンター</v>
      </c>
      <c r="E8" s="275"/>
      <c r="F8" s="162"/>
      <c r="G8" s="162"/>
      <c r="H8" s="163"/>
      <c r="I8" s="162"/>
      <c r="J8" s="163"/>
    </row>
    <row r="9" spans="1:12" ht="13.2" customHeight="1" x14ac:dyDescent="0.2">
      <c r="A9" s="153"/>
      <c r="B9" s="162"/>
      <c r="C9" s="163"/>
      <c r="D9" s="276" t="s">
        <v>142</v>
      </c>
      <c r="E9" s="276"/>
      <c r="F9" s="162"/>
      <c r="G9" s="155"/>
      <c r="H9" s="163"/>
      <c r="I9" s="162"/>
      <c r="J9" s="163"/>
    </row>
    <row r="10" spans="1:12" x14ac:dyDescent="0.2">
      <c r="A10" s="153"/>
      <c r="B10" s="166" t="s">
        <v>136</v>
      </c>
      <c r="C10" s="163"/>
      <c r="D10" s="173" t="s">
        <v>536</v>
      </c>
      <c r="E10" s="174">
        <f>'処理フロー(計算)'!B29</f>
        <v>500</v>
      </c>
      <c r="F10" s="162"/>
      <c r="G10" s="166" t="s">
        <v>142</v>
      </c>
      <c r="H10" s="163"/>
      <c r="I10" s="162"/>
      <c r="J10" s="163"/>
    </row>
    <row r="11" spans="1:12" x14ac:dyDescent="0.2">
      <c r="A11" s="153"/>
      <c r="B11" s="168" t="e">
        <f>'処理フロー(計算)'!B6</f>
        <v>#N/A</v>
      </c>
      <c r="C11" s="163"/>
      <c r="D11" s="173" t="s">
        <v>537</v>
      </c>
      <c r="E11" s="174" t="e">
        <f>'処理フロー(計算)'!E41</f>
        <v>#N/A</v>
      </c>
      <c r="F11" s="162"/>
      <c r="G11" s="168" t="e">
        <f>'処理フロー(計算)'!F41</f>
        <v>#N/A</v>
      </c>
      <c r="H11" s="163"/>
      <c r="I11" s="162"/>
      <c r="J11" s="163"/>
    </row>
    <row r="12" spans="1:12" ht="13.2" customHeight="1" x14ac:dyDescent="0.2">
      <c r="A12" s="153"/>
      <c r="B12" s="162"/>
      <c r="C12" s="163"/>
      <c r="D12" s="277" t="s">
        <v>534</v>
      </c>
      <c r="E12" s="277"/>
      <c r="F12" s="162"/>
      <c r="G12" s="172" t="s">
        <v>534</v>
      </c>
      <c r="H12" s="163"/>
      <c r="I12" s="162"/>
      <c r="J12" s="163"/>
    </row>
    <row r="13" spans="1:12" ht="13.2" customHeight="1" x14ac:dyDescent="0.2">
      <c r="A13" s="153"/>
      <c r="B13" s="170"/>
      <c r="C13" s="163"/>
      <c r="D13" s="273" t="str">
        <f>CONCATENATE("　　",入力用シート!D36)</f>
        <v>　　Ｕセンター</v>
      </c>
      <c r="E13" s="273"/>
      <c r="F13" s="162"/>
      <c r="G13" s="169"/>
      <c r="H13" s="163"/>
      <c r="I13" s="162"/>
      <c r="J13" s="163"/>
    </row>
    <row r="14" spans="1:12" ht="13.2" customHeight="1" x14ac:dyDescent="0.2">
      <c r="A14" s="153"/>
      <c r="B14" s="162"/>
      <c r="C14" s="163"/>
      <c r="D14" s="276" t="s">
        <v>149</v>
      </c>
      <c r="E14" s="276"/>
      <c r="F14" s="162"/>
      <c r="G14" s="155"/>
      <c r="H14" s="163"/>
      <c r="I14" s="162"/>
      <c r="J14" s="163"/>
    </row>
    <row r="15" spans="1:12" x14ac:dyDescent="0.2">
      <c r="A15" s="153"/>
      <c r="B15" s="166" t="s">
        <v>137</v>
      </c>
      <c r="C15" s="163"/>
      <c r="D15" s="173" t="s">
        <v>536</v>
      </c>
      <c r="E15" s="174">
        <f>'処理フロー(計算)'!C29</f>
        <v>300</v>
      </c>
      <c r="F15" s="162"/>
      <c r="G15" s="166" t="s">
        <v>149</v>
      </c>
      <c r="H15" s="163"/>
      <c r="I15" s="162"/>
      <c r="J15" s="163"/>
    </row>
    <row r="16" spans="1:12" x14ac:dyDescent="0.2">
      <c r="A16" s="153"/>
      <c r="B16" s="168" t="e">
        <f>'処理フロー(計算)'!B7</f>
        <v>#N/A</v>
      </c>
      <c r="C16" s="163"/>
      <c r="D16" s="173" t="s">
        <v>537</v>
      </c>
      <c r="E16" s="174" t="e">
        <f>'処理フロー(計算)'!E43</f>
        <v>#N/A</v>
      </c>
      <c r="F16" s="162"/>
      <c r="G16" s="171" t="e">
        <f>'処理フロー(計算)'!F43</f>
        <v>#N/A</v>
      </c>
      <c r="H16" s="163"/>
      <c r="I16" s="162"/>
      <c r="J16" s="163"/>
    </row>
    <row r="17" spans="1:10" x14ac:dyDescent="0.2">
      <c r="A17" s="153"/>
      <c r="B17" s="162"/>
      <c r="C17" s="163"/>
      <c r="D17" s="163"/>
      <c r="E17" s="162"/>
      <c r="F17" s="162"/>
      <c r="G17" s="162"/>
      <c r="H17" s="163"/>
      <c r="I17" s="162"/>
      <c r="J17" s="163"/>
    </row>
    <row r="18" spans="1:10" x14ac:dyDescent="0.2">
      <c r="A18" s="153"/>
      <c r="B18" s="166" t="s">
        <v>138</v>
      </c>
      <c r="C18" s="163"/>
      <c r="D18" s="163"/>
      <c r="E18" s="153"/>
      <c r="F18" s="162"/>
      <c r="G18" s="166" t="s">
        <v>143</v>
      </c>
      <c r="H18" s="163"/>
      <c r="I18" s="166" t="s">
        <v>148</v>
      </c>
      <c r="J18" s="163"/>
    </row>
    <row r="19" spans="1:10" x14ac:dyDescent="0.2">
      <c r="A19" s="153"/>
      <c r="B19" s="168" t="e">
        <f>'処理フロー(計算)'!B10</f>
        <v>#N/A</v>
      </c>
      <c r="C19" s="163"/>
      <c r="D19" s="163"/>
      <c r="E19" s="155"/>
      <c r="F19" s="162"/>
      <c r="G19" s="167" t="e">
        <f>B19</f>
        <v>#N/A</v>
      </c>
      <c r="H19" s="163"/>
      <c r="I19" s="167" t="e">
        <f>G19</f>
        <v>#N/A</v>
      </c>
      <c r="J19" s="163"/>
    </row>
    <row r="20" spans="1:10" x14ac:dyDescent="0.2">
      <c r="A20" s="153"/>
      <c r="B20" s="162"/>
      <c r="C20" s="163"/>
      <c r="D20" s="163"/>
      <c r="E20" s="155"/>
      <c r="F20" s="162"/>
      <c r="G20" s="309"/>
      <c r="H20" s="163"/>
      <c r="I20" s="162"/>
      <c r="J20" s="163"/>
    </row>
    <row r="21" spans="1:10" x14ac:dyDescent="0.2">
      <c r="A21" s="153"/>
      <c r="B21" s="166" t="s">
        <v>139</v>
      </c>
      <c r="C21" s="163"/>
      <c r="D21" s="163"/>
      <c r="E21" s="153"/>
      <c r="F21" s="162"/>
      <c r="G21" s="166" t="s">
        <v>143</v>
      </c>
      <c r="H21" s="163"/>
      <c r="I21" s="166" t="s">
        <v>148</v>
      </c>
      <c r="J21" s="163"/>
    </row>
    <row r="22" spans="1:10" x14ac:dyDescent="0.2">
      <c r="A22" s="153"/>
      <c r="B22" s="168" t="e">
        <f>'処理フロー(計算)'!B8</f>
        <v>#N/A</v>
      </c>
      <c r="C22" s="163"/>
      <c r="D22" s="163"/>
      <c r="E22" s="155"/>
      <c r="F22" s="162"/>
      <c r="G22" s="167" t="e">
        <f>B22</f>
        <v>#N/A</v>
      </c>
      <c r="H22" s="163"/>
      <c r="I22" s="167" t="e">
        <f>G22</f>
        <v>#N/A</v>
      </c>
      <c r="J22" s="163"/>
    </row>
    <row r="23" spans="1:10" x14ac:dyDescent="0.2">
      <c r="A23" s="153"/>
      <c r="B23" s="162"/>
      <c r="C23" s="163"/>
      <c r="D23" s="163"/>
      <c r="E23" s="155"/>
      <c r="F23" s="162"/>
      <c r="G23" s="309"/>
      <c r="H23" s="163"/>
      <c r="I23" s="162"/>
      <c r="J23" s="163"/>
    </row>
    <row r="24" spans="1:10" x14ac:dyDescent="0.2">
      <c r="A24" s="153"/>
      <c r="B24" s="166" t="s">
        <v>140</v>
      </c>
      <c r="C24" s="163"/>
      <c r="D24" s="163"/>
      <c r="E24" s="162"/>
      <c r="F24" s="162"/>
      <c r="G24" s="162"/>
      <c r="H24" s="163"/>
      <c r="I24" s="166" t="s">
        <v>145</v>
      </c>
      <c r="J24" s="163"/>
    </row>
    <row r="25" spans="1:10" x14ac:dyDescent="0.2">
      <c r="A25" s="153"/>
      <c r="B25" s="167" t="e">
        <f>'処理フロー(計算)'!B9</f>
        <v>#N/A</v>
      </c>
      <c r="C25" s="163"/>
      <c r="D25" s="163"/>
      <c r="E25" s="162"/>
      <c r="F25" s="162"/>
      <c r="G25" s="162"/>
      <c r="H25" s="163"/>
      <c r="I25" s="167" t="e">
        <f>B25</f>
        <v>#N/A</v>
      </c>
      <c r="J25" s="163"/>
    </row>
    <row r="26" spans="1:10" x14ac:dyDescent="0.2">
      <c r="A26" s="153"/>
      <c r="B26" s="162"/>
      <c r="C26" s="163"/>
      <c r="D26" s="163"/>
      <c r="E26" s="162"/>
      <c r="F26" s="162"/>
      <c r="G26" s="162"/>
      <c r="H26" s="163"/>
      <c r="I26" s="162"/>
      <c r="J26" s="163"/>
    </row>
    <row r="27" spans="1:10" x14ac:dyDescent="0.2">
      <c r="A27" s="153"/>
      <c r="B27" s="166" t="s">
        <v>141</v>
      </c>
      <c r="C27" s="163"/>
      <c r="D27" s="163"/>
      <c r="E27" s="162"/>
      <c r="F27" s="162"/>
      <c r="G27" s="162"/>
      <c r="H27" s="163"/>
      <c r="I27" s="166" t="s">
        <v>146</v>
      </c>
      <c r="J27" s="163"/>
    </row>
    <row r="28" spans="1:10" x14ac:dyDescent="0.2">
      <c r="A28" s="153"/>
      <c r="B28" s="167" t="e">
        <f>'処理フロー(計算)'!B11</f>
        <v>#N/A</v>
      </c>
      <c r="C28" s="163"/>
      <c r="D28" s="163"/>
      <c r="E28" s="162"/>
      <c r="F28" s="162"/>
      <c r="G28" s="162"/>
      <c r="H28" s="163"/>
      <c r="I28" s="167" t="e">
        <f>B28</f>
        <v>#N/A</v>
      </c>
      <c r="J28" s="163"/>
    </row>
    <row r="29" spans="1:10" x14ac:dyDescent="0.2">
      <c r="A29" s="153"/>
      <c r="B29" s="162"/>
      <c r="C29" s="163"/>
      <c r="D29" s="163"/>
      <c r="E29" s="162"/>
      <c r="F29" s="162"/>
      <c r="G29" s="155"/>
      <c r="H29" s="163"/>
      <c r="I29" s="162"/>
      <c r="J29" s="163"/>
    </row>
    <row r="30" spans="1:10" x14ac:dyDescent="0.2">
      <c r="A30" s="153"/>
      <c r="B30" s="166" t="str">
        <f>CONCATENATE('処理フロー(計算)'!A12,"(t)")</f>
        <v>津波堆積物(t)</v>
      </c>
      <c r="C30" s="163"/>
      <c r="D30" s="163"/>
      <c r="E30" s="162"/>
      <c r="F30" s="162"/>
      <c r="G30" s="166" t="s">
        <v>144</v>
      </c>
      <c r="H30" s="163"/>
      <c r="I30" s="166" t="s">
        <v>147</v>
      </c>
      <c r="J30" s="163"/>
    </row>
    <row r="31" spans="1:10" x14ac:dyDescent="0.2">
      <c r="A31" s="153"/>
      <c r="B31" s="167">
        <f>'処理フロー(計算)'!B12</f>
        <v>1243920</v>
      </c>
      <c r="C31" s="163"/>
      <c r="D31" s="163"/>
      <c r="E31" s="162"/>
      <c r="F31" s="162"/>
      <c r="G31" s="167">
        <f>B31</f>
        <v>1243920</v>
      </c>
      <c r="H31" s="163"/>
      <c r="I31" s="167">
        <f>G31</f>
        <v>1243920</v>
      </c>
      <c r="J31" s="163"/>
    </row>
    <row r="32" spans="1:10" x14ac:dyDescent="0.2">
      <c r="A32" s="153"/>
      <c r="B32" s="162"/>
      <c r="C32" s="163"/>
      <c r="D32" s="163"/>
      <c r="E32" s="162"/>
      <c r="F32" s="162"/>
      <c r="G32" s="309"/>
      <c r="H32" s="163"/>
      <c r="I32" s="162"/>
      <c r="J32" s="163"/>
    </row>
    <row r="33" spans="1:10" x14ac:dyDescent="0.2">
      <c r="A33" s="153"/>
      <c r="B33" s="162"/>
      <c r="C33" s="163"/>
      <c r="D33" s="163"/>
      <c r="E33" s="162"/>
      <c r="F33" s="162"/>
      <c r="G33" s="162"/>
      <c r="H33" s="163"/>
      <c r="I33" s="162"/>
      <c r="J33" s="163"/>
    </row>
    <row r="34" spans="1:10" x14ac:dyDescent="0.2">
      <c r="A34" s="153"/>
      <c r="B34" s="162"/>
      <c r="C34" s="163"/>
      <c r="D34" s="163"/>
      <c r="E34" s="162"/>
      <c r="F34" s="162"/>
      <c r="G34" s="162"/>
      <c r="H34" s="163"/>
      <c r="I34" s="162"/>
      <c r="J34" s="163"/>
    </row>
    <row r="35" spans="1:10" ht="13.2" customHeight="1" x14ac:dyDescent="0.2">
      <c r="A35" s="153"/>
      <c r="B35" s="162"/>
      <c r="C35" s="163"/>
      <c r="D35" s="275" t="str">
        <f>入力用シート!D44</f>
        <v>Ｔ下水道浄化センター浄化槽汚泥等受入施設</v>
      </c>
      <c r="E35" s="275"/>
      <c r="F35" s="162"/>
      <c r="G35" s="162"/>
      <c r="H35" s="163"/>
      <c r="I35" s="162"/>
      <c r="J35" s="163"/>
    </row>
    <row r="36" spans="1:10" ht="13.2" customHeight="1" x14ac:dyDescent="0.2">
      <c r="A36" s="153"/>
      <c r="B36" s="162"/>
      <c r="C36" s="163"/>
      <c r="D36" s="278" t="s">
        <v>311</v>
      </c>
      <c r="E36" s="278"/>
      <c r="F36" s="162"/>
      <c r="G36" s="155"/>
      <c r="H36" s="163"/>
      <c r="I36" s="162"/>
      <c r="J36" s="163"/>
    </row>
    <row r="37" spans="1:10" x14ac:dyDescent="0.2">
      <c r="A37" s="153"/>
      <c r="B37" s="166" t="s">
        <v>310</v>
      </c>
      <c r="C37" s="163"/>
      <c r="D37" s="173" t="s">
        <v>536</v>
      </c>
      <c r="E37" s="174">
        <f>'処理フロー(計算)'!C48</f>
        <v>247.4541316180109</v>
      </c>
      <c r="F37" s="162"/>
      <c r="G37" s="166" t="s">
        <v>135</v>
      </c>
      <c r="H37" s="163"/>
      <c r="I37" s="162"/>
      <c r="J37" s="163"/>
    </row>
    <row r="38" spans="1:10" x14ac:dyDescent="0.2">
      <c r="A38" s="153"/>
      <c r="B38" s="168">
        <f>'処理フロー(計算)'!B48</f>
        <v>3906.0458960008859</v>
      </c>
      <c r="C38" s="163"/>
      <c r="D38" s="173" t="s">
        <v>537</v>
      </c>
      <c r="E38" s="175">
        <f>'処理フロー(計算)'!B48</f>
        <v>3906.0458960008859</v>
      </c>
      <c r="F38" s="162"/>
      <c r="G38" s="171">
        <f>'処理フロー(計算)'!D48</f>
        <v>3658.5917643828752</v>
      </c>
      <c r="H38" s="163"/>
      <c r="J38" s="163"/>
    </row>
    <row r="39" spans="1:10" x14ac:dyDescent="0.2">
      <c r="A39" s="153"/>
      <c r="B39" s="162"/>
      <c r="C39" s="163"/>
      <c r="D39" s="163"/>
      <c r="E39" s="162"/>
      <c r="F39" s="162"/>
      <c r="G39" s="162"/>
      <c r="H39" s="163"/>
      <c r="I39" s="162"/>
      <c r="J39" s="163"/>
    </row>
    <row r="40" spans="1:10" ht="13.2" customHeight="1" x14ac:dyDescent="0.2">
      <c r="A40" s="153"/>
      <c r="B40" s="166" t="s">
        <v>210</v>
      </c>
      <c r="C40" s="163"/>
      <c r="D40" s="310" t="s">
        <v>142</v>
      </c>
      <c r="E40" s="310"/>
      <c r="F40" s="162"/>
      <c r="G40" s="162"/>
      <c r="H40" s="163"/>
      <c r="I40" s="162"/>
      <c r="J40" s="163"/>
    </row>
    <row r="41" spans="1:10" ht="13.2" customHeight="1" x14ac:dyDescent="0.2">
      <c r="A41" s="153"/>
      <c r="B41" s="171">
        <f>'処理フロー(計算)'!B49</f>
        <v>1131.0711615</v>
      </c>
      <c r="C41" s="163"/>
      <c r="D41" s="279">
        <f>B41</f>
        <v>1131.0711615</v>
      </c>
      <c r="E41" s="279"/>
      <c r="F41" s="162"/>
      <c r="G41" s="162"/>
      <c r="H41" s="163"/>
      <c r="I41" s="162"/>
      <c r="J41" s="163"/>
    </row>
    <row r="42" spans="1:10" x14ac:dyDescent="0.2">
      <c r="A42" s="153"/>
      <c r="B42" s="162"/>
      <c r="C42" s="163"/>
      <c r="D42" s="163"/>
      <c r="E42" s="162"/>
      <c r="F42" s="162"/>
      <c r="G42" s="162"/>
      <c r="H42" s="163"/>
      <c r="I42" s="162"/>
      <c r="J42" s="163"/>
    </row>
    <row r="43" spans="1:10" ht="14.1" customHeight="1" x14ac:dyDescent="0.2">
      <c r="A43" s="153"/>
      <c r="B43" s="162"/>
      <c r="C43" s="163"/>
      <c r="D43" s="163"/>
      <c r="E43" s="162"/>
      <c r="F43" s="162"/>
      <c r="G43" s="162"/>
      <c r="H43" s="163"/>
      <c r="I43" s="162"/>
      <c r="J43" s="163"/>
    </row>
    <row r="44" spans="1:10" x14ac:dyDescent="0.2">
      <c r="A44" s="153"/>
      <c r="B44" s="165" t="s">
        <v>542</v>
      </c>
      <c r="C44" s="163"/>
      <c r="D44" s="163"/>
      <c r="E44" s="162"/>
      <c r="F44" s="162"/>
      <c r="G44" s="162"/>
      <c r="H44" s="163"/>
      <c r="I44" s="162"/>
      <c r="J44" s="163"/>
    </row>
    <row r="45" spans="1:10" x14ac:dyDescent="0.2">
      <c r="A45" s="153"/>
      <c r="B45" s="178" t="s">
        <v>541</v>
      </c>
      <c r="C45" s="163"/>
      <c r="D45" s="163"/>
      <c r="E45" s="162"/>
      <c r="F45" s="162"/>
      <c r="G45" s="162"/>
      <c r="H45" s="163"/>
      <c r="I45" s="162"/>
      <c r="J45" s="163"/>
    </row>
    <row r="46" spans="1:10" x14ac:dyDescent="0.2">
      <c r="A46" s="153"/>
      <c r="B46" s="165" t="s">
        <v>213</v>
      </c>
      <c r="C46" s="163"/>
      <c r="D46" s="163"/>
      <c r="E46" s="162"/>
      <c r="F46" s="162"/>
      <c r="G46" s="162"/>
      <c r="H46" s="163"/>
      <c r="I46" s="162"/>
      <c r="J46" s="163"/>
    </row>
    <row r="47" spans="1:10" x14ac:dyDescent="0.2">
      <c r="A47" s="153"/>
      <c r="B47" s="165" t="s">
        <v>174</v>
      </c>
      <c r="C47" s="163"/>
      <c r="D47" s="163"/>
      <c r="E47" s="162"/>
      <c r="F47" s="162"/>
      <c r="G47" s="162"/>
      <c r="H47" s="163"/>
      <c r="I47" s="162"/>
      <c r="J47" s="163"/>
    </row>
    <row r="48" spans="1:10" x14ac:dyDescent="0.2">
      <c r="A48" s="153"/>
      <c r="B48" s="165" t="s">
        <v>543</v>
      </c>
      <c r="C48" s="153"/>
      <c r="D48" s="153"/>
      <c r="E48" s="155"/>
      <c r="F48" s="155"/>
      <c r="G48" s="155"/>
      <c r="H48" s="153"/>
      <c r="I48" s="155"/>
      <c r="J48" s="153"/>
    </row>
    <row r="49" spans="1:10" x14ac:dyDescent="0.2">
      <c r="A49" s="153"/>
      <c r="B49" s="165" t="s">
        <v>180</v>
      </c>
      <c r="C49" s="153"/>
      <c r="D49" s="153"/>
      <c r="E49" s="155"/>
      <c r="F49" s="155"/>
      <c r="G49" s="155"/>
      <c r="H49" s="153"/>
      <c r="I49" s="155"/>
      <c r="J49" s="153"/>
    </row>
    <row r="50" spans="1:10" x14ac:dyDescent="0.2">
      <c r="A50" s="153"/>
      <c r="B50" s="165"/>
      <c r="C50" s="153"/>
      <c r="D50" s="153"/>
      <c r="E50" s="155"/>
      <c r="F50" s="155"/>
      <c r="G50" s="155"/>
      <c r="H50" s="153"/>
      <c r="I50" s="155"/>
      <c r="J50" s="153"/>
    </row>
    <row r="51" spans="1:10" x14ac:dyDescent="0.2">
      <c r="A51" s="153"/>
      <c r="B51" s="154"/>
      <c r="C51" s="153"/>
      <c r="D51" s="153"/>
      <c r="E51" s="155"/>
      <c r="F51" s="155"/>
      <c r="G51" s="155"/>
      <c r="H51" s="153"/>
      <c r="I51" s="155"/>
      <c r="J51" s="153"/>
    </row>
    <row r="52" spans="1:10" x14ac:dyDescent="0.2">
      <c r="B52" s="159"/>
    </row>
  </sheetData>
  <mergeCells count="10">
    <mergeCell ref="D7:E7"/>
    <mergeCell ref="D35:E35"/>
    <mergeCell ref="D36:E36"/>
    <mergeCell ref="D40:E40"/>
    <mergeCell ref="D41:E41"/>
    <mergeCell ref="D8:E8"/>
    <mergeCell ref="D9:E9"/>
    <mergeCell ref="D12:E12"/>
    <mergeCell ref="D13:E13"/>
    <mergeCell ref="D14:E14"/>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81E6-82A7-4902-954B-D79358B42E0F}">
  <dimension ref="A1:D180"/>
  <sheetViews>
    <sheetView workbookViewId="0"/>
  </sheetViews>
  <sheetFormatPr defaultRowHeight="13.2" x14ac:dyDescent="0.2"/>
  <sheetData>
    <row r="1" spans="1:4" x14ac:dyDescent="0.2">
      <c r="A1" t="s">
        <v>514</v>
      </c>
      <c r="B1" t="s">
        <v>513</v>
      </c>
      <c r="C1" t="s">
        <v>512</v>
      </c>
      <c r="D1" t="s">
        <v>544</v>
      </c>
    </row>
    <row r="2" spans="1:4" x14ac:dyDescent="0.2">
      <c r="A2" t="s">
        <v>511</v>
      </c>
      <c r="B2" s="312">
        <v>134.08350811644661</v>
      </c>
      <c r="C2" s="312">
        <v>440.97673864340533</v>
      </c>
    </row>
    <row r="3" spans="1:4" x14ac:dyDescent="0.2">
      <c r="A3" t="s">
        <v>510</v>
      </c>
      <c r="B3" s="312">
        <v>115.38721439242768</v>
      </c>
      <c r="C3" s="312">
        <v>240.75466114234982</v>
      </c>
    </row>
    <row r="4" spans="1:4" x14ac:dyDescent="0.2">
      <c r="A4" t="s">
        <v>509</v>
      </c>
      <c r="B4" s="312">
        <v>96.644410233017823</v>
      </c>
      <c r="C4" s="312">
        <v>213.63394116725013</v>
      </c>
    </row>
    <row r="5" spans="1:4" x14ac:dyDescent="0.2">
      <c r="A5" t="s">
        <v>508</v>
      </c>
      <c r="B5" s="312">
        <v>125.17346808673405</v>
      </c>
      <c r="C5" s="312">
        <v>168.60266383781234</v>
      </c>
    </row>
    <row r="6" spans="1:4" x14ac:dyDescent="0.2">
      <c r="A6" t="s">
        <v>507</v>
      </c>
      <c r="B6" s="312">
        <v>110.66637532775627</v>
      </c>
      <c r="C6" s="312">
        <v>343.68283182393611</v>
      </c>
    </row>
    <row r="7" spans="1:4" x14ac:dyDescent="0.2">
      <c r="A7" t="s">
        <v>506</v>
      </c>
      <c r="B7" s="312">
        <v>121.56970180090778</v>
      </c>
      <c r="C7" s="312">
        <v>442.97378205739346</v>
      </c>
    </row>
    <row r="8" spans="1:4" x14ac:dyDescent="0.2">
      <c r="A8" t="s">
        <v>505</v>
      </c>
      <c r="B8" s="312">
        <v>132.46217806813888</v>
      </c>
      <c r="C8" s="312">
        <v>375.973155947414</v>
      </c>
    </row>
    <row r="9" spans="1:4" x14ac:dyDescent="0.2">
      <c r="A9" t="s">
        <v>504</v>
      </c>
      <c r="B9" s="312">
        <v>121.63373346295279</v>
      </c>
      <c r="C9" s="312">
        <v>272.59593413978496</v>
      </c>
    </row>
    <row r="10" spans="1:4" x14ac:dyDescent="0.2">
      <c r="A10" t="s">
        <v>503</v>
      </c>
      <c r="B10" s="312">
        <v>118.07074428887252</v>
      </c>
      <c r="C10" s="312">
        <v>282.85135135135135</v>
      </c>
    </row>
    <row r="11" spans="1:4" x14ac:dyDescent="0.2">
      <c r="A11" t="s">
        <v>502</v>
      </c>
      <c r="B11" s="312">
        <v>124.86840072109194</v>
      </c>
      <c r="C11" s="312">
        <v>303.92909747292418</v>
      </c>
    </row>
    <row r="12" spans="1:4" x14ac:dyDescent="0.2">
      <c r="A12" t="s">
        <v>501</v>
      </c>
      <c r="B12" s="312">
        <v>134.20856679445592</v>
      </c>
      <c r="C12" s="312">
        <v>230.42229228486647</v>
      </c>
    </row>
    <row r="13" spans="1:4" x14ac:dyDescent="0.2">
      <c r="A13" t="s">
        <v>500</v>
      </c>
      <c r="B13" s="312">
        <v>121.79152029073289</v>
      </c>
      <c r="C13" s="312">
        <v>360.7253846153846</v>
      </c>
    </row>
    <row r="14" spans="1:4" x14ac:dyDescent="0.2">
      <c r="A14" t="s">
        <v>499</v>
      </c>
      <c r="B14" s="312">
        <v>128.03087062711012</v>
      </c>
      <c r="C14" s="312">
        <v>454.0421909696521</v>
      </c>
    </row>
    <row r="15" spans="1:4" x14ac:dyDescent="0.2">
      <c r="A15" t="s">
        <v>498</v>
      </c>
      <c r="B15" s="312">
        <v>105.87682486816541</v>
      </c>
      <c r="C15" s="312">
        <v>174.74660038017254</v>
      </c>
    </row>
    <row r="16" spans="1:4" x14ac:dyDescent="0.2">
      <c r="A16" t="s">
        <v>497</v>
      </c>
      <c r="B16" s="312">
        <v>116.04311807565625</v>
      </c>
      <c r="C16" s="312">
        <v>226.74854255732609</v>
      </c>
    </row>
    <row r="17" spans="1:3" x14ac:dyDescent="0.2">
      <c r="A17" t="s">
        <v>496</v>
      </c>
      <c r="B17" s="312">
        <v>94.294267981014968</v>
      </c>
      <c r="C17" s="312">
        <v>91.466743648960744</v>
      </c>
    </row>
    <row r="18" spans="1:3" x14ac:dyDescent="0.2">
      <c r="A18" t="s">
        <v>495</v>
      </c>
      <c r="B18" s="312">
        <v>130.90199297927754</v>
      </c>
      <c r="C18" s="312">
        <v>173.93999219229266</v>
      </c>
    </row>
    <row r="19" spans="1:3" x14ac:dyDescent="0.2">
      <c r="A19" t="s">
        <v>494</v>
      </c>
      <c r="B19" s="312">
        <v>100.3913251857177</v>
      </c>
      <c r="C19" s="312">
        <v>322.11866666666668</v>
      </c>
    </row>
    <row r="20" spans="1:3" x14ac:dyDescent="0.2">
      <c r="A20" t="s">
        <v>493</v>
      </c>
      <c r="B20" s="312">
        <v>122.82613679786014</v>
      </c>
      <c r="C20" s="312">
        <v>353.71526586620928</v>
      </c>
    </row>
    <row r="21" spans="1:3" x14ac:dyDescent="0.2">
      <c r="A21" t="s">
        <v>492</v>
      </c>
      <c r="B21" s="312">
        <v>115.07044486277618</v>
      </c>
      <c r="C21" s="312">
        <v>225.27157761618716</v>
      </c>
    </row>
    <row r="22" spans="1:3" x14ac:dyDescent="0.2">
      <c r="A22" t="s">
        <v>491</v>
      </c>
      <c r="B22" s="312">
        <v>104.91359940872135</v>
      </c>
      <c r="C22" s="312">
        <v>130.12613636363636</v>
      </c>
    </row>
    <row r="23" spans="1:3" x14ac:dyDescent="0.2">
      <c r="A23" t="s">
        <v>490</v>
      </c>
      <c r="B23" s="312">
        <v>106.50246305418719</v>
      </c>
      <c r="C23" s="312">
        <v>134.41358595194086</v>
      </c>
    </row>
    <row r="24" spans="1:3" x14ac:dyDescent="0.2">
      <c r="A24" t="s">
        <v>489</v>
      </c>
      <c r="B24" s="312">
        <v>105.34881740155933</v>
      </c>
      <c r="C24" s="312">
        <v>240.22853232979816</v>
      </c>
    </row>
    <row r="25" spans="1:3" x14ac:dyDescent="0.2">
      <c r="A25" t="s">
        <v>488</v>
      </c>
      <c r="B25" s="312">
        <v>130.31996453900709</v>
      </c>
      <c r="C25" s="312">
        <v>276.7954091077379</v>
      </c>
    </row>
    <row r="26" spans="1:3" x14ac:dyDescent="0.2">
      <c r="A26" t="s">
        <v>487</v>
      </c>
      <c r="B26" s="312">
        <v>124.51196916418718</v>
      </c>
      <c r="C26" s="312">
        <v>119.69054747647561</v>
      </c>
    </row>
    <row r="27" spans="1:3" x14ac:dyDescent="0.2">
      <c r="A27" t="s">
        <v>486</v>
      </c>
      <c r="B27" s="312">
        <v>101.33059106442222</v>
      </c>
      <c r="C27" s="312">
        <v>108.90487156775907</v>
      </c>
    </row>
    <row r="28" spans="1:3" x14ac:dyDescent="0.2">
      <c r="A28" t="s">
        <v>485</v>
      </c>
      <c r="B28" s="312">
        <v>93.697916666666671</v>
      </c>
      <c r="C28" s="312">
        <v>238.625</v>
      </c>
    </row>
    <row r="29" spans="1:3" x14ac:dyDescent="0.2">
      <c r="A29" t="s">
        <v>484</v>
      </c>
      <c r="B29" s="312">
        <v>104.24740609667819</v>
      </c>
      <c r="C29" s="312">
        <v>103.85134914145544</v>
      </c>
    </row>
    <row r="30" spans="1:3" x14ac:dyDescent="0.2">
      <c r="A30" t="s">
        <v>483</v>
      </c>
      <c r="B30" s="312">
        <v>107.97026421854008</v>
      </c>
      <c r="C30" s="312">
        <v>221.57822580645163</v>
      </c>
    </row>
    <row r="31" spans="1:3" x14ac:dyDescent="0.2">
      <c r="A31" t="s">
        <v>482</v>
      </c>
      <c r="B31" s="312">
        <v>98.003301476976546</v>
      </c>
      <c r="C31" s="312">
        <v>190.71349494178278</v>
      </c>
    </row>
    <row r="32" spans="1:3" x14ac:dyDescent="0.2">
      <c r="A32" t="s">
        <v>481</v>
      </c>
      <c r="B32" s="312">
        <v>124.26401058780577</v>
      </c>
      <c r="C32" s="312">
        <v>154.86098187625859</v>
      </c>
    </row>
    <row r="33" spans="1:3" x14ac:dyDescent="0.2">
      <c r="A33" t="s">
        <v>480</v>
      </c>
      <c r="B33" s="312">
        <v>114.08307285405145</v>
      </c>
      <c r="C33" s="312">
        <v>192.71506784099023</v>
      </c>
    </row>
    <row r="34" spans="1:3" x14ac:dyDescent="0.2">
      <c r="A34" t="s">
        <v>479</v>
      </c>
      <c r="B34" s="312">
        <v>126.40698965577698</v>
      </c>
      <c r="C34" s="312">
        <v>227.7673829407901</v>
      </c>
    </row>
    <row r="35" spans="1:3" x14ac:dyDescent="0.2">
      <c r="A35" t="s">
        <v>478</v>
      </c>
      <c r="B35" s="312">
        <v>120.17310234784591</v>
      </c>
      <c r="C35" s="312">
        <v>242.26907894736843</v>
      </c>
    </row>
    <row r="36" spans="1:3" x14ac:dyDescent="0.2">
      <c r="A36" t="s">
        <v>477</v>
      </c>
      <c r="B36" s="312">
        <v>114.2160293570175</v>
      </c>
      <c r="C36" s="312">
        <v>294.15889888252929</v>
      </c>
    </row>
    <row r="37" spans="1:3" x14ac:dyDescent="0.2">
      <c r="A37" t="s">
        <v>476</v>
      </c>
      <c r="B37" s="312">
        <v>110.32521885118119</v>
      </c>
      <c r="C37" s="312">
        <v>117.39416350189886</v>
      </c>
    </row>
    <row r="38" spans="1:3" x14ac:dyDescent="0.2">
      <c r="A38" t="s">
        <v>475</v>
      </c>
      <c r="B38" s="312">
        <v>117.40836012861736</v>
      </c>
      <c r="C38" s="312">
        <v>144.02508551881414</v>
      </c>
    </row>
    <row r="39" spans="1:3" x14ac:dyDescent="0.2">
      <c r="A39" t="s">
        <v>474</v>
      </c>
      <c r="B39" s="312">
        <v>98.846767912772592</v>
      </c>
      <c r="C39" s="312">
        <v>121.28198757763975</v>
      </c>
    </row>
    <row r="40" spans="1:3" x14ac:dyDescent="0.2">
      <c r="A40" t="s">
        <v>473</v>
      </c>
      <c r="B40" s="312">
        <v>82.639175257731964</v>
      </c>
      <c r="C40" s="312">
        <v>194.54448398576511</v>
      </c>
    </row>
    <row r="41" spans="1:3" x14ac:dyDescent="0.2">
      <c r="A41" t="s">
        <v>472</v>
      </c>
      <c r="B41" s="312">
        <v>105.05784574468085</v>
      </c>
      <c r="C41" s="312">
        <v>258.37214137214136</v>
      </c>
    </row>
    <row r="42" spans="1:3" x14ac:dyDescent="0.2">
      <c r="A42" t="s">
        <v>471</v>
      </c>
      <c r="B42" s="312">
        <v>102.28395953757226</v>
      </c>
      <c r="C42" s="312">
        <v>264.41947565543069</v>
      </c>
    </row>
    <row r="43" spans="1:3" x14ac:dyDescent="0.2">
      <c r="A43" t="s">
        <v>470</v>
      </c>
      <c r="B43" s="312">
        <v>105.95169503855666</v>
      </c>
      <c r="C43" s="312">
        <v>189.40017590149517</v>
      </c>
    </row>
    <row r="44" spans="1:3" x14ac:dyDescent="0.2">
      <c r="A44" t="s">
        <v>469</v>
      </c>
      <c r="B44" s="312">
        <v>107.20497925311203</v>
      </c>
      <c r="C44" s="312">
        <v>220.49371633752244</v>
      </c>
    </row>
    <row r="45" spans="1:3" x14ac:dyDescent="0.2">
      <c r="A45" t="s">
        <v>468</v>
      </c>
      <c r="B45" s="312">
        <v>116.46385542168674</v>
      </c>
      <c r="C45" s="312">
        <v>258.82752613240416</v>
      </c>
    </row>
    <row r="46" spans="1:3" x14ac:dyDescent="0.2">
      <c r="A46" t="s">
        <v>467</v>
      </c>
      <c r="B46" s="312">
        <v>118.93411817976002</v>
      </c>
      <c r="C46" s="312">
        <v>198.11603545527799</v>
      </c>
    </row>
    <row r="47" spans="1:3" x14ac:dyDescent="0.2">
      <c r="A47" t="s">
        <v>466</v>
      </c>
      <c r="B47" s="312">
        <v>105.65780318091451</v>
      </c>
      <c r="C47" s="312">
        <v>189.20997679814386</v>
      </c>
    </row>
    <row r="48" spans="1:3" x14ac:dyDescent="0.2">
      <c r="A48" t="s">
        <v>465</v>
      </c>
      <c r="B48" s="312">
        <v>107.55101564324072</v>
      </c>
      <c r="C48" s="312">
        <v>217.22575516693163</v>
      </c>
    </row>
    <row r="49" spans="1:3" x14ac:dyDescent="0.2">
      <c r="A49" t="s">
        <v>464</v>
      </c>
      <c r="B49" s="312">
        <v>103.18355640535373</v>
      </c>
      <c r="C49" s="312">
        <v>134.06517311608962</v>
      </c>
    </row>
    <row r="50" spans="1:3" x14ac:dyDescent="0.2">
      <c r="A50" t="s">
        <v>463</v>
      </c>
      <c r="B50" s="312">
        <v>111.50253807106598</v>
      </c>
      <c r="C50" s="312">
        <v>188.16571428571427</v>
      </c>
    </row>
    <row r="51" spans="1:3" x14ac:dyDescent="0.2">
      <c r="A51" t="s">
        <v>462</v>
      </c>
      <c r="B51" s="312">
        <v>109.17335685928541</v>
      </c>
      <c r="C51" s="312">
        <v>162.2514619883041</v>
      </c>
    </row>
    <row r="52" spans="1:3" x14ac:dyDescent="0.2">
      <c r="A52" t="s">
        <v>461</v>
      </c>
      <c r="B52" s="312">
        <v>97.390036452004864</v>
      </c>
      <c r="C52" s="312">
        <v>258.35714285714283</v>
      </c>
    </row>
    <row r="53" spans="1:3" x14ac:dyDescent="0.2">
      <c r="A53" t="s">
        <v>460</v>
      </c>
      <c r="B53" s="312">
        <v>130.38953866146849</v>
      </c>
      <c r="C53" s="312">
        <v>207.18127962085308</v>
      </c>
    </row>
    <row r="54" spans="1:3" x14ac:dyDescent="0.2">
      <c r="A54" t="s">
        <v>459</v>
      </c>
      <c r="B54" s="312">
        <v>94.787951807228922</v>
      </c>
      <c r="C54" s="312">
        <v>165.19035743973399</v>
      </c>
    </row>
    <row r="55" spans="1:3" x14ac:dyDescent="0.2">
      <c r="A55" t="s">
        <v>458</v>
      </c>
      <c r="B55" s="312">
        <v>85.374058577405862</v>
      </c>
      <c r="C55" s="312">
        <v>116.21</v>
      </c>
    </row>
    <row r="56" spans="1:3" x14ac:dyDescent="0.2">
      <c r="A56" t="s">
        <v>457</v>
      </c>
      <c r="B56" s="312">
        <v>105.2638036809816</v>
      </c>
      <c r="C56" s="312">
        <v>215.84408602150538</v>
      </c>
    </row>
    <row r="57" spans="1:3" x14ac:dyDescent="0.2">
      <c r="A57" t="s">
        <v>456</v>
      </c>
      <c r="B57" s="312">
        <v>135.04286718200984</v>
      </c>
      <c r="C57" s="312">
        <v>204.43255813953488</v>
      </c>
    </row>
    <row r="58" spans="1:3" x14ac:dyDescent="0.2">
      <c r="A58" t="s">
        <v>455</v>
      </c>
      <c r="B58" s="312">
        <v>92.115858453473138</v>
      </c>
      <c r="C58" s="312">
        <v>120.81652173913044</v>
      </c>
    </row>
    <row r="59" spans="1:3" x14ac:dyDescent="0.2">
      <c r="A59" t="s">
        <v>454</v>
      </c>
      <c r="B59" s="312">
        <v>111.15478424015009</v>
      </c>
      <c r="C59" s="312">
        <v>213.06302843966179</v>
      </c>
    </row>
    <row r="60" spans="1:3" x14ac:dyDescent="0.2">
      <c r="A60" t="s">
        <v>453</v>
      </c>
      <c r="B60" s="312">
        <v>123.31313926042486</v>
      </c>
      <c r="C60" s="312">
        <v>149.57720588235293</v>
      </c>
    </row>
    <row r="61" spans="1:3" x14ac:dyDescent="0.2">
      <c r="A61" t="s">
        <v>452</v>
      </c>
      <c r="B61" s="312">
        <v>143.2988606485539</v>
      </c>
      <c r="C61" s="312">
        <v>366.23390894819465</v>
      </c>
    </row>
    <row r="62" spans="1:3" x14ac:dyDescent="0.2">
      <c r="A62" t="s">
        <v>451</v>
      </c>
      <c r="B62" s="312">
        <v>113.14262023217248</v>
      </c>
      <c r="C62" s="312">
        <v>250.13043478260869</v>
      </c>
    </row>
    <row r="63" spans="1:3" x14ac:dyDescent="0.2">
      <c r="A63" t="s">
        <v>450</v>
      </c>
      <c r="B63" s="312">
        <v>114.64117272147865</v>
      </c>
      <c r="C63" s="312">
        <v>216.5544267053701</v>
      </c>
    </row>
    <row r="64" spans="1:3" x14ac:dyDescent="0.2">
      <c r="A64" t="s">
        <v>449</v>
      </c>
      <c r="B64" s="312">
        <v>137.51781045751633</v>
      </c>
      <c r="C64" s="312">
        <v>305.32105263157894</v>
      </c>
    </row>
    <row r="65" spans="1:3" x14ac:dyDescent="0.2">
      <c r="A65" t="s">
        <v>448</v>
      </c>
      <c r="B65" s="312">
        <v>109.80854961832061</v>
      </c>
      <c r="C65" s="312">
        <v>205.04489795918369</v>
      </c>
    </row>
    <row r="66" spans="1:3" x14ac:dyDescent="0.2">
      <c r="A66" t="s">
        <v>447</v>
      </c>
      <c r="B66" s="312">
        <v>113.77292922881625</v>
      </c>
      <c r="C66" s="312">
        <v>247.41249999999999</v>
      </c>
    </row>
    <row r="67" spans="1:3" x14ac:dyDescent="0.2">
      <c r="A67" t="s">
        <v>446</v>
      </c>
      <c r="B67" s="312">
        <v>131.07677543186179</v>
      </c>
      <c r="C67" s="312">
        <v>1403.5272727272727</v>
      </c>
    </row>
    <row r="68" spans="1:3" x14ac:dyDescent="0.2">
      <c r="A68" t="s">
        <v>445</v>
      </c>
      <c r="B68" s="312">
        <v>115.68421052631579</v>
      </c>
      <c r="C68" s="312">
        <v>126.47058823529412</v>
      </c>
    </row>
    <row r="69" spans="1:3" x14ac:dyDescent="0.2">
      <c r="A69" t="s">
        <v>444</v>
      </c>
      <c r="B69" s="312">
        <v>101.8616480162767</v>
      </c>
      <c r="C69" s="312">
        <v>134.0622009569378</v>
      </c>
    </row>
    <row r="70" spans="1:3" x14ac:dyDescent="0.2">
      <c r="A70" t="s">
        <v>443</v>
      </c>
      <c r="B70" s="312">
        <v>120.04588607594937</v>
      </c>
      <c r="C70" s="312">
        <v>174.96842105263158</v>
      </c>
    </row>
    <row r="71" spans="1:3" x14ac:dyDescent="0.2">
      <c r="A71" t="s">
        <v>442</v>
      </c>
      <c r="B71" s="312">
        <v>109.05051546391752</v>
      </c>
      <c r="C71" s="312">
        <v>116.52656434474616</v>
      </c>
    </row>
    <row r="72" spans="1:3" x14ac:dyDescent="0.2">
      <c r="A72" t="s">
        <v>441</v>
      </c>
      <c r="B72" s="312">
        <v>132.23373141603705</v>
      </c>
      <c r="C72" s="312">
        <v>270.64253098499671</v>
      </c>
    </row>
    <row r="73" spans="1:3" x14ac:dyDescent="0.2">
      <c r="A73" t="s">
        <v>440</v>
      </c>
      <c r="B73" s="312">
        <v>109.98860398860398</v>
      </c>
      <c r="C73" s="312">
        <v>427.76923076923077</v>
      </c>
    </row>
    <row r="74" spans="1:3" x14ac:dyDescent="0.2">
      <c r="A74" t="s">
        <v>439</v>
      </c>
      <c r="B74" s="312">
        <v>106.35726972849531</v>
      </c>
      <c r="C74" s="312">
        <v>110.9301445285616</v>
      </c>
    </row>
    <row r="75" spans="1:3" x14ac:dyDescent="0.2">
      <c r="A75" t="s">
        <v>438</v>
      </c>
      <c r="B75" s="312">
        <v>115.73945104465383</v>
      </c>
      <c r="C75" s="312">
        <v>163.96435391470402</v>
      </c>
    </row>
    <row r="76" spans="1:3" x14ac:dyDescent="0.2">
      <c r="A76" t="s">
        <v>437</v>
      </c>
      <c r="B76" s="312">
        <v>76.896938013442863</v>
      </c>
      <c r="C76" s="312">
        <v>344.96116504854371</v>
      </c>
    </row>
    <row r="77" spans="1:3" x14ac:dyDescent="0.2">
      <c r="A77" t="s">
        <v>436</v>
      </c>
      <c r="B77" s="312">
        <v>113.620367278798</v>
      </c>
      <c r="C77" s="312">
        <v>197.35475051264524</v>
      </c>
    </row>
    <row r="78" spans="1:3" x14ac:dyDescent="0.2">
      <c r="A78" t="s">
        <v>435</v>
      </c>
      <c r="B78" s="312">
        <v>116.8201724137931</v>
      </c>
      <c r="C78" s="312">
        <v>135.08607126330404</v>
      </c>
    </row>
    <row r="79" spans="1:3" x14ac:dyDescent="0.2">
      <c r="A79" t="s">
        <v>434</v>
      </c>
      <c r="B79" s="312">
        <v>106.86844919786097</v>
      </c>
      <c r="C79" s="312">
        <v>197.12867647058823</v>
      </c>
    </row>
    <row r="80" spans="1:3" x14ac:dyDescent="0.2">
      <c r="A80" t="s">
        <v>433</v>
      </c>
      <c r="B80" s="312">
        <v>115.90441621294616</v>
      </c>
      <c r="C80" s="312">
        <v>180.32991803278688</v>
      </c>
    </row>
    <row r="81" spans="1:3" x14ac:dyDescent="0.2">
      <c r="A81" t="s">
        <v>432</v>
      </c>
      <c r="B81" s="312">
        <v>116.03631532329496</v>
      </c>
      <c r="C81" s="312">
        <v>239.49299065420561</v>
      </c>
    </row>
    <row r="82" spans="1:3" x14ac:dyDescent="0.2">
      <c r="A82" t="s">
        <v>431</v>
      </c>
      <c r="B82" s="312">
        <v>109.4962269846061</v>
      </c>
      <c r="C82" s="312">
        <v>158.05996472663139</v>
      </c>
    </row>
    <row r="83" spans="1:3" x14ac:dyDescent="0.2">
      <c r="A83" t="s">
        <v>430</v>
      </c>
      <c r="B83" s="312">
        <v>101.18398727465535</v>
      </c>
      <c r="C83" s="312">
        <v>133.390625</v>
      </c>
    </row>
    <row r="84" spans="1:3" x14ac:dyDescent="0.2">
      <c r="A84" t="s">
        <v>429</v>
      </c>
      <c r="B84" s="312">
        <v>110.45596590909091</v>
      </c>
      <c r="C84" s="312">
        <v>141.37827715355806</v>
      </c>
    </row>
    <row r="85" spans="1:3" x14ac:dyDescent="0.2">
      <c r="A85" t="s">
        <v>428</v>
      </c>
      <c r="B85" s="312">
        <v>98.759412890874287</v>
      </c>
      <c r="C85" s="312">
        <v>100.63098591549296</v>
      </c>
    </row>
    <row r="86" spans="1:3" x14ac:dyDescent="0.2">
      <c r="A86" t="s">
        <v>427</v>
      </c>
      <c r="B86" s="312">
        <v>101.1498344370861</v>
      </c>
      <c r="C86" s="312">
        <v>118.82958801498127</v>
      </c>
    </row>
    <row r="87" spans="1:3" x14ac:dyDescent="0.2">
      <c r="A87" t="s">
        <v>426</v>
      </c>
      <c r="B87" s="312">
        <v>107.32648648648649</v>
      </c>
      <c r="C87" s="312">
        <v>134.9269588313413</v>
      </c>
    </row>
    <row r="88" spans="1:3" x14ac:dyDescent="0.2">
      <c r="A88" t="s">
        <v>425</v>
      </c>
      <c r="B88" s="312">
        <v>102.1910579672472</v>
      </c>
      <c r="C88" s="312">
        <v>88.713979263496597</v>
      </c>
    </row>
    <row r="89" spans="1:3" x14ac:dyDescent="0.2">
      <c r="A89" t="s">
        <v>424</v>
      </c>
      <c r="B89" s="312">
        <v>110.51311111111112</v>
      </c>
      <c r="C89" s="312">
        <v>128.02400342906128</v>
      </c>
    </row>
    <row r="90" spans="1:3" x14ac:dyDescent="0.2">
      <c r="A90" t="s">
        <v>423</v>
      </c>
      <c r="B90" s="312">
        <v>92.024848746758863</v>
      </c>
      <c r="C90" s="312">
        <v>104.80568720379146</v>
      </c>
    </row>
    <row r="91" spans="1:3" x14ac:dyDescent="0.2">
      <c r="A91" t="s">
        <v>422</v>
      </c>
      <c r="B91" s="312">
        <v>86.426297840090939</v>
      </c>
      <c r="C91" s="312">
        <v>67.173119469026545</v>
      </c>
    </row>
    <row r="92" spans="1:3" x14ac:dyDescent="0.2">
      <c r="A92" t="s">
        <v>421</v>
      </c>
      <c r="B92" s="312">
        <v>100.29528676888131</v>
      </c>
      <c r="C92" s="312">
        <v>184.82344213649853</v>
      </c>
    </row>
    <row r="93" spans="1:3" x14ac:dyDescent="0.2">
      <c r="A93" t="s">
        <v>420</v>
      </c>
      <c r="B93" s="312">
        <v>95.788953009068422</v>
      </c>
      <c r="C93" s="312">
        <v>415.02416356877325</v>
      </c>
    </row>
    <row r="94" spans="1:3" x14ac:dyDescent="0.2">
      <c r="A94" t="s">
        <v>419</v>
      </c>
      <c r="B94" s="312">
        <v>101.24394501418286</v>
      </c>
      <c r="C94" s="312">
        <v>143.98245614035088</v>
      </c>
    </row>
    <row r="95" spans="1:3" x14ac:dyDescent="0.2">
      <c r="A95" t="s">
        <v>418</v>
      </c>
      <c r="B95" s="312">
        <v>103.79182462502061</v>
      </c>
      <c r="C95" s="312">
        <v>194.55077211043519</v>
      </c>
    </row>
    <row r="96" spans="1:3" x14ac:dyDescent="0.2">
      <c r="A96" t="s">
        <v>417</v>
      </c>
      <c r="B96" s="312">
        <v>111.78905674281503</v>
      </c>
      <c r="C96" s="312">
        <v>268.04083405734144</v>
      </c>
    </row>
    <row r="97" spans="1:3" x14ac:dyDescent="0.2">
      <c r="A97" t="s">
        <v>416</v>
      </c>
      <c r="B97" s="312">
        <v>109.03461674320029</v>
      </c>
      <c r="C97" s="312">
        <v>217.54071661237785</v>
      </c>
    </row>
    <row r="98" spans="1:3" x14ac:dyDescent="0.2">
      <c r="A98" t="s">
        <v>415</v>
      </c>
      <c r="B98" s="312">
        <v>102.64463452566096</v>
      </c>
      <c r="C98" s="312">
        <v>198.85279187817258</v>
      </c>
    </row>
    <row r="99" spans="1:3" x14ac:dyDescent="0.2">
      <c r="A99" t="s">
        <v>414</v>
      </c>
      <c r="B99" s="312">
        <v>123.50787401574803</v>
      </c>
      <c r="C99" s="312">
        <v>994.22014925373139</v>
      </c>
    </row>
    <row r="100" spans="1:3" x14ac:dyDescent="0.2">
      <c r="A100" t="s">
        <v>413</v>
      </c>
      <c r="B100" s="312">
        <v>88.711374583178952</v>
      </c>
      <c r="C100" s="312">
        <v>121.82954545454545</v>
      </c>
    </row>
    <row r="101" spans="1:3" x14ac:dyDescent="0.2">
      <c r="A101" t="s">
        <v>412</v>
      </c>
      <c r="B101" s="312">
        <v>91.224819379515509</v>
      </c>
      <c r="C101" s="312">
        <v>112.42370370370371</v>
      </c>
    </row>
    <row r="102" spans="1:3" x14ac:dyDescent="0.2">
      <c r="A102" t="s">
        <v>411</v>
      </c>
      <c r="B102" s="312">
        <v>125.19358741681791</v>
      </c>
      <c r="C102" s="312">
        <v>256.39635535307519</v>
      </c>
    </row>
    <row r="103" spans="1:3" x14ac:dyDescent="0.2">
      <c r="A103" t="s">
        <v>410</v>
      </c>
      <c r="B103" s="312">
        <v>90.543484626647142</v>
      </c>
      <c r="C103" s="312">
        <v>107.29890909090909</v>
      </c>
    </row>
    <row r="104" spans="1:3" x14ac:dyDescent="0.2">
      <c r="A104" t="s">
        <v>409</v>
      </c>
      <c r="B104" s="312">
        <v>91.913580246913583</v>
      </c>
      <c r="C104" s="312">
        <v>157.65625</v>
      </c>
    </row>
    <row r="105" spans="1:3" x14ac:dyDescent="0.2">
      <c r="A105" t="s">
        <v>408</v>
      </c>
      <c r="B105" s="312">
        <v>113.08840413318025</v>
      </c>
      <c r="C105" s="312">
        <v>295.84790874524714</v>
      </c>
    </row>
    <row r="106" spans="1:3" x14ac:dyDescent="0.2">
      <c r="A106" t="s">
        <v>407</v>
      </c>
      <c r="B106" s="312">
        <v>85.290705339485825</v>
      </c>
      <c r="C106" s="312">
        <v>200.0114503816794</v>
      </c>
    </row>
    <row r="107" spans="1:3" x14ac:dyDescent="0.2">
      <c r="A107" t="s">
        <v>406</v>
      </c>
      <c r="B107" s="312">
        <v>90.715263157894739</v>
      </c>
      <c r="C107" s="312">
        <v>259.63836477987422</v>
      </c>
    </row>
    <row r="108" spans="1:3" x14ac:dyDescent="0.2">
      <c r="A108" t="s">
        <v>405</v>
      </c>
      <c r="B108" s="312">
        <v>102.10726795096322</v>
      </c>
      <c r="C108" s="312">
        <v>136.41846153846154</v>
      </c>
    </row>
    <row r="109" spans="1:3" x14ac:dyDescent="0.2">
      <c r="A109" t="s">
        <v>404</v>
      </c>
      <c r="B109" s="312">
        <v>120.20393232738911</v>
      </c>
      <c r="C109" s="312">
        <v>213.51870324189525</v>
      </c>
    </row>
    <row r="110" spans="1:3" x14ac:dyDescent="0.2">
      <c r="A110" t="s">
        <v>403</v>
      </c>
      <c r="B110" s="312">
        <v>112.84152542372881</v>
      </c>
      <c r="C110" s="312">
        <v>118.40520984081041</v>
      </c>
    </row>
    <row r="111" spans="1:3" x14ac:dyDescent="0.2">
      <c r="A111" t="s">
        <v>402</v>
      </c>
      <c r="B111" s="312">
        <v>107.16317530319735</v>
      </c>
      <c r="C111" s="312">
        <v>153.78151260504202</v>
      </c>
    </row>
    <row r="112" spans="1:3" x14ac:dyDescent="0.2">
      <c r="A112" t="s">
        <v>401</v>
      </c>
      <c r="B112" s="312">
        <v>123.56496350364964</v>
      </c>
      <c r="C112" s="312">
        <v>263.02747252747253</v>
      </c>
    </row>
    <row r="113" spans="1:3" x14ac:dyDescent="0.2">
      <c r="A113" t="s">
        <v>400</v>
      </c>
      <c r="B113" s="312">
        <v>111.80993520518359</v>
      </c>
      <c r="C113" s="312">
        <v>257.7972166998012</v>
      </c>
    </row>
    <row r="114" spans="1:3" x14ac:dyDescent="0.2">
      <c r="A114" t="s">
        <v>399</v>
      </c>
      <c r="B114" s="312">
        <v>143.21546546546546</v>
      </c>
      <c r="C114" s="312">
        <v>304.68279569892474</v>
      </c>
    </row>
    <row r="115" spans="1:3" x14ac:dyDescent="0.2">
      <c r="A115" t="s">
        <v>398</v>
      </c>
      <c r="B115" s="312">
        <v>125.17934093789607</v>
      </c>
      <c r="C115" s="312">
        <v>274.62211981566821</v>
      </c>
    </row>
    <row r="116" spans="1:3" x14ac:dyDescent="0.2">
      <c r="A116" t="s">
        <v>397</v>
      </c>
      <c r="B116" s="312">
        <v>120.04223744292237</v>
      </c>
      <c r="C116" s="312">
        <v>179.53316953316954</v>
      </c>
    </row>
    <row r="117" spans="1:3" x14ac:dyDescent="0.2">
      <c r="A117" t="s">
        <v>396</v>
      </c>
      <c r="B117" s="312">
        <v>120.72720694645442</v>
      </c>
      <c r="C117" s="312">
        <v>245.28407460545193</v>
      </c>
    </row>
    <row r="118" spans="1:3" x14ac:dyDescent="0.2">
      <c r="A118" t="s">
        <v>395</v>
      </c>
      <c r="B118" s="312">
        <v>125.0228237791932</v>
      </c>
      <c r="C118" s="312">
        <v>245.91012031139419</v>
      </c>
    </row>
    <row r="119" spans="1:3" x14ac:dyDescent="0.2">
      <c r="A119" t="s">
        <v>394</v>
      </c>
      <c r="B119" s="312">
        <v>103.02660217654172</v>
      </c>
      <c r="C119" s="312">
        <v>306.74576271186442</v>
      </c>
    </row>
    <row r="120" spans="1:3" x14ac:dyDescent="0.2">
      <c r="A120" t="s">
        <v>393</v>
      </c>
      <c r="B120" s="312">
        <v>107.31087762669964</v>
      </c>
      <c r="C120" s="312">
        <v>248.64473684210526</v>
      </c>
    </row>
    <row r="121" spans="1:3" x14ac:dyDescent="0.2">
      <c r="A121" t="s">
        <v>392</v>
      </c>
      <c r="B121" s="312">
        <v>102.0560657322378</v>
      </c>
      <c r="C121" s="312">
        <v>406.2037037037037</v>
      </c>
    </row>
    <row r="122" spans="1:3" x14ac:dyDescent="0.2">
      <c r="A122" t="s">
        <v>391</v>
      </c>
      <c r="B122" s="312">
        <v>130.52714708785786</v>
      </c>
      <c r="C122" s="312">
        <v>261.40460947503203</v>
      </c>
    </row>
    <row r="123" spans="1:3" x14ac:dyDescent="0.2">
      <c r="A123" t="s">
        <v>390</v>
      </c>
      <c r="B123" s="312">
        <v>115.36759172154281</v>
      </c>
      <c r="C123" s="312">
        <v>212.37381751602075</v>
      </c>
    </row>
    <row r="124" spans="1:3" x14ac:dyDescent="0.2">
      <c r="A124" t="s">
        <v>389</v>
      </c>
      <c r="B124" s="312">
        <v>116.51422475106686</v>
      </c>
      <c r="C124" s="312">
        <v>304.94355518112889</v>
      </c>
    </row>
    <row r="125" spans="1:3" x14ac:dyDescent="0.2">
      <c r="A125" t="s">
        <v>388</v>
      </c>
      <c r="B125" s="312">
        <v>110.01910299003322</v>
      </c>
      <c r="C125" s="312">
        <v>287.39087228560913</v>
      </c>
    </row>
    <row r="126" spans="1:3" x14ac:dyDescent="0.2">
      <c r="A126" t="s">
        <v>387</v>
      </c>
      <c r="B126" s="312">
        <v>108.36453974895397</v>
      </c>
      <c r="C126" s="312">
        <v>221.93333333333334</v>
      </c>
    </row>
    <row r="127" spans="1:3" x14ac:dyDescent="0.2">
      <c r="A127" t="s">
        <v>386</v>
      </c>
      <c r="B127" s="312">
        <v>128.69823788546256</v>
      </c>
      <c r="C127" s="312">
        <v>204.23014804845221</v>
      </c>
    </row>
    <row r="128" spans="1:3" x14ac:dyDescent="0.2">
      <c r="A128" t="s">
        <v>385</v>
      </c>
      <c r="B128" s="312">
        <v>100.14406779661017</v>
      </c>
      <c r="C128" s="312">
        <v>209.72984615384615</v>
      </c>
    </row>
    <row r="129" spans="1:3" x14ac:dyDescent="0.2">
      <c r="A129" t="s">
        <v>384</v>
      </c>
      <c r="B129" s="312">
        <v>111.49535772801748</v>
      </c>
      <c r="C129" s="312">
        <v>209.40540540540542</v>
      </c>
    </row>
    <row r="130" spans="1:3" x14ac:dyDescent="0.2">
      <c r="A130" t="s">
        <v>383</v>
      </c>
      <c r="B130" s="312">
        <v>127.02826149015129</v>
      </c>
      <c r="C130" s="312">
        <v>349.23655121591747</v>
      </c>
    </row>
    <row r="131" spans="1:3" x14ac:dyDescent="0.2">
      <c r="A131" t="s">
        <v>382</v>
      </c>
      <c r="B131" s="312">
        <v>108.24785491419657</v>
      </c>
      <c r="C131" s="312">
        <v>262.35597302504817</v>
      </c>
    </row>
    <row r="132" spans="1:3" x14ac:dyDescent="0.2">
      <c r="A132" t="s">
        <v>381</v>
      </c>
      <c r="B132" s="312">
        <v>121.8853919239905</v>
      </c>
      <c r="C132" s="312">
        <v>246.27775658145745</v>
      </c>
    </row>
    <row r="133" spans="1:3" x14ac:dyDescent="0.2">
      <c r="A133" t="s">
        <v>380</v>
      </c>
      <c r="B133" s="312">
        <v>113.41272084805654</v>
      </c>
      <c r="C133" s="312">
        <v>199.57610474631753</v>
      </c>
    </row>
    <row r="134" spans="1:3" x14ac:dyDescent="0.2">
      <c r="A134" t="s">
        <v>379</v>
      </c>
      <c r="B134" s="312">
        <v>114.19622493118364</v>
      </c>
      <c r="C134" s="312">
        <v>217.08312757201645</v>
      </c>
    </row>
    <row r="135" spans="1:3" x14ac:dyDescent="0.2">
      <c r="A135" t="s">
        <v>378</v>
      </c>
      <c r="B135" s="312">
        <v>102.62750716332378</v>
      </c>
      <c r="C135" s="312">
        <v>269.91216216216219</v>
      </c>
    </row>
    <row r="136" spans="1:3" x14ac:dyDescent="0.2">
      <c r="A136" t="s">
        <v>377</v>
      </c>
      <c r="B136" s="312">
        <v>114.47919655667145</v>
      </c>
      <c r="C136" s="312">
        <v>271.14234234234232</v>
      </c>
    </row>
    <row r="137" spans="1:3" x14ac:dyDescent="0.2">
      <c r="A137" t="s">
        <v>376</v>
      </c>
      <c r="B137" s="312">
        <v>117.85891998869099</v>
      </c>
      <c r="C137" s="312">
        <v>222.88650883126644</v>
      </c>
    </row>
    <row r="138" spans="1:3" x14ac:dyDescent="0.2">
      <c r="A138" t="s">
        <v>375</v>
      </c>
      <c r="B138" s="312">
        <v>122.73041362530414</v>
      </c>
      <c r="C138" s="312">
        <v>261.98563218390802</v>
      </c>
    </row>
    <row r="139" spans="1:3" x14ac:dyDescent="0.2">
      <c r="A139" t="s">
        <v>374</v>
      </c>
      <c r="B139" s="312">
        <v>116.02215431627197</v>
      </c>
      <c r="C139" s="312">
        <v>377.13387423935092</v>
      </c>
    </row>
    <row r="140" spans="1:3" x14ac:dyDescent="0.2">
      <c r="A140" t="s">
        <v>373</v>
      </c>
      <c r="B140" s="312">
        <v>104.71852938479876</v>
      </c>
      <c r="C140" s="312">
        <v>216.17423678332094</v>
      </c>
    </row>
    <row r="141" spans="1:3" x14ac:dyDescent="0.2">
      <c r="A141" t="s">
        <v>372</v>
      </c>
      <c r="B141" s="312">
        <v>115.1859086152773</v>
      </c>
      <c r="C141" s="312">
        <v>229.63771564544913</v>
      </c>
    </row>
    <row r="142" spans="1:3" x14ac:dyDescent="0.2">
      <c r="A142" t="s">
        <v>371</v>
      </c>
      <c r="B142" s="312">
        <v>108.48412068281064</v>
      </c>
      <c r="C142" s="312">
        <v>489.29758149316507</v>
      </c>
    </row>
    <row r="143" spans="1:3" x14ac:dyDescent="0.2">
      <c r="A143" t="s">
        <v>370</v>
      </c>
      <c r="B143" s="312">
        <v>155.27029096477796</v>
      </c>
      <c r="C143" s="312">
        <v>244.11706998037934</v>
      </c>
    </row>
    <row r="144" spans="1:3" x14ac:dyDescent="0.2">
      <c r="A144" t="s">
        <v>369</v>
      </c>
      <c r="B144" s="312">
        <v>110.62410554561717</v>
      </c>
      <c r="C144" s="312">
        <v>171.55921052631578</v>
      </c>
    </row>
    <row r="145" spans="1:3" x14ac:dyDescent="0.2">
      <c r="A145" t="s">
        <v>368</v>
      </c>
      <c r="B145" s="312">
        <v>111.46934842827893</v>
      </c>
      <c r="C145" s="312">
        <v>168.93295485266287</v>
      </c>
    </row>
    <row r="146" spans="1:3" x14ac:dyDescent="0.2">
      <c r="A146" t="s">
        <v>367</v>
      </c>
      <c r="B146" s="312">
        <v>105.48875783265757</v>
      </c>
      <c r="C146" s="312">
        <v>128.76978417266187</v>
      </c>
    </row>
    <row r="147" spans="1:3" x14ac:dyDescent="0.2">
      <c r="A147" t="s">
        <v>366</v>
      </c>
      <c r="B147" s="312">
        <v>138.50111217032094</v>
      </c>
      <c r="C147" s="312">
        <v>204.33233756534727</v>
      </c>
    </row>
    <row r="148" spans="1:3" x14ac:dyDescent="0.2">
      <c r="A148" t="s">
        <v>365</v>
      </c>
      <c r="B148" s="312">
        <v>114.13527960526316</v>
      </c>
      <c r="C148" s="312">
        <v>249.82947624847748</v>
      </c>
    </row>
    <row r="149" spans="1:3" x14ac:dyDescent="0.2">
      <c r="A149" t="s">
        <v>364</v>
      </c>
      <c r="B149" s="312">
        <v>100.52716236722307</v>
      </c>
      <c r="C149" s="312">
        <v>148.40133779264215</v>
      </c>
    </row>
    <row r="150" spans="1:3" x14ac:dyDescent="0.2">
      <c r="A150" t="s">
        <v>363</v>
      </c>
      <c r="B150" s="312">
        <v>110.73052325581395</v>
      </c>
      <c r="C150" s="312">
        <v>158.60172413793103</v>
      </c>
    </row>
    <row r="151" spans="1:3" x14ac:dyDescent="0.2">
      <c r="A151" t="s">
        <v>362</v>
      </c>
      <c r="B151" s="312">
        <v>118.93442879499217</v>
      </c>
      <c r="C151" s="312">
        <v>216.58894230769232</v>
      </c>
    </row>
    <row r="152" spans="1:3" x14ac:dyDescent="0.2">
      <c r="A152" t="s">
        <v>361</v>
      </c>
      <c r="B152" s="312">
        <v>115.39674059683773</v>
      </c>
      <c r="C152" s="312">
        <v>256.66174594496084</v>
      </c>
    </row>
    <row r="153" spans="1:3" x14ac:dyDescent="0.2">
      <c r="A153" t="s">
        <v>360</v>
      </c>
      <c r="B153" s="312">
        <v>130.10718113612003</v>
      </c>
      <c r="C153" s="312">
        <v>275.2980243799916</v>
      </c>
    </row>
    <row r="154" spans="1:3" x14ac:dyDescent="0.2">
      <c r="A154" t="s">
        <v>359</v>
      </c>
      <c r="B154" s="312">
        <v>114.45854833161334</v>
      </c>
      <c r="C154" s="312">
        <v>360.54309623430964</v>
      </c>
    </row>
    <row r="155" spans="1:3" x14ac:dyDescent="0.2">
      <c r="A155" t="s">
        <v>358</v>
      </c>
      <c r="B155" s="312">
        <v>130.5910095799558</v>
      </c>
      <c r="C155" s="312">
        <v>200.5751325869181</v>
      </c>
    </row>
    <row r="156" spans="1:3" x14ac:dyDescent="0.2">
      <c r="A156" t="s">
        <v>357</v>
      </c>
      <c r="B156" s="312">
        <v>106.07564145284906</v>
      </c>
      <c r="C156" s="312">
        <v>231.14174344436569</v>
      </c>
    </row>
    <row r="157" spans="1:3" x14ac:dyDescent="0.2">
      <c r="A157" t="s">
        <v>356</v>
      </c>
      <c r="B157" s="312">
        <v>124.97490118577075</v>
      </c>
      <c r="C157" s="312">
        <v>304.42838107928048</v>
      </c>
    </row>
    <row r="158" spans="1:3" x14ac:dyDescent="0.2">
      <c r="A158" t="s">
        <v>355</v>
      </c>
      <c r="B158" s="312">
        <v>115.54227919557803</v>
      </c>
      <c r="C158" s="312">
        <v>236.87888307155322</v>
      </c>
    </row>
    <row r="159" spans="1:3" x14ac:dyDescent="0.2">
      <c r="A159" t="s">
        <v>354</v>
      </c>
      <c r="B159" s="312">
        <v>136.15046059365403</v>
      </c>
      <c r="C159" s="312">
        <v>263.34151547491996</v>
      </c>
    </row>
    <row r="160" spans="1:3" x14ac:dyDescent="0.2">
      <c r="A160" t="s">
        <v>353</v>
      </c>
      <c r="B160" s="312">
        <v>118.29258098223616</v>
      </c>
      <c r="C160" s="312">
        <v>249.70746268656717</v>
      </c>
    </row>
    <row r="161" spans="1:3" x14ac:dyDescent="0.2">
      <c r="A161" t="s">
        <v>352</v>
      </c>
      <c r="B161" s="312">
        <v>118.95755305867665</v>
      </c>
      <c r="C161" s="312">
        <v>304.37144886363637</v>
      </c>
    </row>
    <row r="162" spans="1:3" x14ac:dyDescent="0.2">
      <c r="A162" t="s">
        <v>351</v>
      </c>
      <c r="B162" s="312">
        <v>108.27882101259804</v>
      </c>
      <c r="C162" s="312">
        <v>302.76226012793177</v>
      </c>
    </row>
    <row r="163" spans="1:3" x14ac:dyDescent="0.2">
      <c r="A163" t="s">
        <v>350</v>
      </c>
      <c r="B163" s="312">
        <v>117.37865472367754</v>
      </c>
      <c r="C163" s="312">
        <v>225.94294364229157</v>
      </c>
    </row>
    <row r="164" spans="1:3" x14ac:dyDescent="0.2">
      <c r="A164" t="s">
        <v>349</v>
      </c>
      <c r="B164" s="312">
        <v>110.38066095471237</v>
      </c>
      <c r="C164" s="312">
        <v>195.03150134048258</v>
      </c>
    </row>
    <row r="165" spans="1:3" x14ac:dyDescent="0.2">
      <c r="A165" t="s">
        <v>348</v>
      </c>
      <c r="B165" s="312">
        <v>132.89888211382114</v>
      </c>
      <c r="C165" s="312">
        <v>241.22859216255443</v>
      </c>
    </row>
    <row r="166" spans="1:3" x14ac:dyDescent="0.2">
      <c r="A166" t="s">
        <v>347</v>
      </c>
      <c r="B166" s="312">
        <v>101.88144776766363</v>
      </c>
      <c r="C166" s="312">
        <v>232.37095709570957</v>
      </c>
    </row>
    <row r="167" spans="1:3" x14ac:dyDescent="0.2">
      <c r="A167" t="s">
        <v>346</v>
      </c>
      <c r="B167" s="312">
        <v>107.02915524545227</v>
      </c>
      <c r="C167" s="312">
        <v>212.01642710472279</v>
      </c>
    </row>
    <row r="168" spans="1:3" x14ac:dyDescent="0.2">
      <c r="A168" t="s">
        <v>345</v>
      </c>
      <c r="B168" s="312">
        <v>144.36039768019884</v>
      </c>
      <c r="C168" s="312">
        <v>303.70642201834863</v>
      </c>
    </row>
    <row r="169" spans="1:3" x14ac:dyDescent="0.2">
      <c r="A169" t="s">
        <v>344</v>
      </c>
      <c r="B169" s="312">
        <v>120.69339933993399</v>
      </c>
      <c r="C169" s="312">
        <v>297.62706530291109</v>
      </c>
    </row>
    <row r="170" spans="1:3" x14ac:dyDescent="0.2">
      <c r="A170" t="s">
        <v>343</v>
      </c>
      <c r="B170" s="312">
        <v>110.77734328711932</v>
      </c>
      <c r="C170" s="312">
        <v>343.5887230514096</v>
      </c>
    </row>
    <row r="171" spans="1:3" x14ac:dyDescent="0.2">
      <c r="A171" t="s">
        <v>342</v>
      </c>
      <c r="B171" s="312">
        <v>110.14778503994191</v>
      </c>
      <c r="C171" s="312">
        <v>271.23867069486403</v>
      </c>
    </row>
    <row r="172" spans="1:3" x14ac:dyDescent="0.2">
      <c r="A172" t="s">
        <v>341</v>
      </c>
      <c r="B172" s="312">
        <v>117.22043602730676</v>
      </c>
      <c r="C172" s="312">
        <v>252.94700686947988</v>
      </c>
    </row>
    <row r="173" spans="1:3" x14ac:dyDescent="0.2">
      <c r="A173" t="s">
        <v>340</v>
      </c>
      <c r="B173" s="312">
        <v>125.51645287228109</v>
      </c>
      <c r="C173" s="312">
        <v>332.370381773399</v>
      </c>
    </row>
    <row r="174" spans="1:3" x14ac:dyDescent="0.2">
      <c r="A174" t="s">
        <v>339</v>
      </c>
      <c r="B174" s="312">
        <v>109.38920056100982</v>
      </c>
      <c r="C174" s="312">
        <v>280.28800000000001</v>
      </c>
    </row>
    <row r="175" spans="1:3" x14ac:dyDescent="0.2">
      <c r="A175" t="s">
        <v>338</v>
      </c>
      <c r="B175" s="312">
        <v>125.43212669683258</v>
      </c>
      <c r="C175" s="312">
        <v>269.98597626752968</v>
      </c>
    </row>
    <row r="176" spans="1:3" x14ac:dyDescent="0.2">
      <c r="A176" t="s">
        <v>337</v>
      </c>
      <c r="B176" s="312">
        <v>91.445875827518336</v>
      </c>
      <c r="C176" s="312">
        <v>331.79511834319527</v>
      </c>
    </row>
    <row r="177" spans="1:3" x14ac:dyDescent="0.2">
      <c r="A177" t="s">
        <v>336</v>
      </c>
      <c r="B177" s="312">
        <v>129.18463061502288</v>
      </c>
      <c r="C177" s="312">
        <v>257.77000879507477</v>
      </c>
    </row>
    <row r="178" spans="1:3" x14ac:dyDescent="0.2">
      <c r="A178" t="s">
        <v>335</v>
      </c>
      <c r="B178" s="312">
        <v>114.46124471049644</v>
      </c>
      <c r="C178" s="312">
        <v>286.65187642546135</v>
      </c>
    </row>
    <row r="179" spans="1:3" x14ac:dyDescent="0.2">
      <c r="A179" t="s">
        <v>334</v>
      </c>
      <c r="B179" s="312">
        <v>124.26589810338416</v>
      </c>
      <c r="C179" s="312">
        <v>318.78801546391753</v>
      </c>
    </row>
    <row r="180" spans="1:3" x14ac:dyDescent="0.2">
      <c r="A180" t="s">
        <v>333</v>
      </c>
      <c r="B180" s="312">
        <v>117.42323481116584</v>
      </c>
      <c r="C180" s="312">
        <v>227.83483483483482</v>
      </c>
    </row>
  </sheetData>
  <sortState xmlns:xlrd2="http://schemas.microsoft.com/office/spreadsheetml/2017/richdata2" ref="A2:C180">
    <sortCondition ref="A2:A180"/>
  </sortState>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zoomScaleNormal="100" workbookViewId="0"/>
  </sheetViews>
  <sheetFormatPr defaultColWidth="9.33203125" defaultRowHeight="13.2" x14ac:dyDescent="0.2"/>
  <cols>
    <col min="1" max="1" width="38" style="104" customWidth="1"/>
    <col min="2" max="2" width="15.6640625" style="104" customWidth="1"/>
    <col min="3" max="3" width="36.6640625" style="104" customWidth="1"/>
    <col min="4" max="10" width="18.88671875" style="104" customWidth="1"/>
    <col min="11" max="16384" width="9.33203125" style="104"/>
  </cols>
  <sheetData>
    <row r="1" spans="1:6" ht="16.2" x14ac:dyDescent="0.2">
      <c r="A1" s="103" t="s">
        <v>86</v>
      </c>
    </row>
    <row r="2" spans="1:6" s="5" customFormat="1" x14ac:dyDescent="0.2">
      <c r="B2" s="43"/>
      <c r="C2" s="5" t="s">
        <v>312</v>
      </c>
    </row>
    <row r="3" spans="1:6" s="5" customFormat="1" x14ac:dyDescent="0.2">
      <c r="B3" s="44"/>
      <c r="C3" s="5" t="s">
        <v>313</v>
      </c>
    </row>
    <row r="4" spans="1:6" s="5" customFormat="1" x14ac:dyDescent="0.2">
      <c r="B4" s="60"/>
      <c r="C4" s="5" t="s">
        <v>240</v>
      </c>
    </row>
    <row r="5" spans="1:6" ht="16.2" x14ac:dyDescent="0.2">
      <c r="A5" s="103"/>
    </row>
    <row r="6" spans="1:6" ht="160.5" customHeight="1" x14ac:dyDescent="0.2">
      <c r="A6" s="282" t="s">
        <v>538</v>
      </c>
      <c r="B6" s="282"/>
      <c r="C6" s="282"/>
    </row>
    <row r="7" spans="1:6" x14ac:dyDescent="0.2">
      <c r="A7" s="209" t="s">
        <v>303</v>
      </c>
      <c r="B7" s="209"/>
      <c r="C7" s="209"/>
    </row>
    <row r="8" spans="1:6" x14ac:dyDescent="0.2">
      <c r="A8" s="105" t="s">
        <v>294</v>
      </c>
      <c r="B8" s="105"/>
      <c r="C8" s="105"/>
      <c r="D8" s="105"/>
      <c r="E8" s="105"/>
      <c r="F8" s="105"/>
    </row>
    <row r="9" spans="1:6" x14ac:dyDescent="0.2">
      <c r="A9" s="105"/>
      <c r="B9" s="105"/>
      <c r="C9" s="105"/>
      <c r="D9" s="105"/>
      <c r="E9" s="105"/>
      <c r="F9" s="105"/>
    </row>
    <row r="10" spans="1:6" x14ac:dyDescent="0.2">
      <c r="A10" s="104" t="s">
        <v>22</v>
      </c>
    </row>
    <row r="11" spans="1:6" x14ac:dyDescent="0.2">
      <c r="A11" s="106" t="s">
        <v>115</v>
      </c>
      <c r="B11" s="106" t="s">
        <v>116</v>
      </c>
      <c r="C11" s="107"/>
    </row>
    <row r="12" spans="1:6" x14ac:dyDescent="0.2">
      <c r="A12" s="108" t="s">
        <v>23</v>
      </c>
      <c r="B12" s="109">
        <v>1.7</v>
      </c>
      <c r="C12" s="107" t="s">
        <v>315</v>
      </c>
      <c r="D12" s="110"/>
    </row>
    <row r="13" spans="1:6" x14ac:dyDescent="0.2">
      <c r="A13" s="108" t="s">
        <v>24</v>
      </c>
      <c r="B13" s="111">
        <v>3</v>
      </c>
      <c r="C13" s="105" t="s">
        <v>203</v>
      </c>
      <c r="D13" s="110"/>
    </row>
    <row r="14" spans="1:6" x14ac:dyDescent="0.2">
      <c r="A14" s="108" t="s">
        <v>25</v>
      </c>
      <c r="B14" s="111">
        <v>400</v>
      </c>
      <c r="C14" s="105" t="s">
        <v>316</v>
      </c>
      <c r="D14" s="110"/>
    </row>
    <row r="15" spans="1:6" x14ac:dyDescent="0.2">
      <c r="A15" s="112" t="s">
        <v>294</v>
      </c>
      <c r="B15" s="113"/>
      <c r="C15" s="105"/>
      <c r="D15" s="110"/>
    </row>
    <row r="16" spans="1:6" x14ac:dyDescent="0.2">
      <c r="A16" s="112"/>
      <c r="B16" s="113"/>
      <c r="C16" s="105"/>
      <c r="D16" s="110"/>
    </row>
    <row r="17" spans="1:3" x14ac:dyDescent="0.2">
      <c r="A17" s="104" t="s">
        <v>87</v>
      </c>
    </row>
    <row r="18" spans="1:3" x14ac:dyDescent="0.2">
      <c r="A18" s="114" t="s">
        <v>88</v>
      </c>
      <c r="B18" s="115">
        <f>入力用シート!D16/入力用シート!D11</f>
        <v>9.2893636785880168E-2</v>
      </c>
    </row>
    <row r="19" spans="1:3" x14ac:dyDescent="0.2">
      <c r="A19" s="151" t="s">
        <v>522</v>
      </c>
      <c r="B19" s="116">
        <f>入力用シート!D15</f>
        <v>1763</v>
      </c>
      <c r="C19" s="104" t="s">
        <v>55</v>
      </c>
    </row>
    <row r="20" spans="1:3" x14ac:dyDescent="0.2">
      <c r="A20" s="151" t="s">
        <v>523</v>
      </c>
      <c r="B20" s="116">
        <f>(入力用シート!D12-入力用シート!D15*(入力用シート!D12/入力用シート!D10))*B18*0.5</f>
        <v>97.888311934435634</v>
      </c>
      <c r="C20" s="104" t="s">
        <v>55</v>
      </c>
    </row>
    <row r="21" spans="1:3" x14ac:dyDescent="0.2">
      <c r="A21" s="151" t="s">
        <v>91</v>
      </c>
      <c r="B21" s="116">
        <f>入力用シート!D13-入力用シート!D15*入力用シート!D13/入力用シート!D10</f>
        <v>470.59221213569037</v>
      </c>
      <c r="C21" s="104" t="s">
        <v>55</v>
      </c>
    </row>
    <row r="22" spans="1:3" x14ac:dyDescent="0.2">
      <c r="A22" s="151" t="s">
        <v>524</v>
      </c>
      <c r="B22" s="116">
        <f>B19+B20</f>
        <v>1860.8883119344357</v>
      </c>
      <c r="C22" s="104" t="s">
        <v>55</v>
      </c>
    </row>
    <row r="23" spans="1:3" x14ac:dyDescent="0.2">
      <c r="A23" s="283" t="s">
        <v>525</v>
      </c>
      <c r="B23" s="296">
        <f>B22*B12</f>
        <v>3163.5101302885405</v>
      </c>
      <c r="C23" s="104" t="s">
        <v>295</v>
      </c>
    </row>
    <row r="24" spans="1:3" x14ac:dyDescent="0.2">
      <c r="A24" s="283" t="s">
        <v>302</v>
      </c>
      <c r="B24" s="116">
        <f>$B$12*(B22+B21)</f>
        <v>3963.5168909192143</v>
      </c>
      <c r="C24" s="104" t="s">
        <v>295</v>
      </c>
    </row>
    <row r="25" spans="1:3" x14ac:dyDescent="0.2">
      <c r="A25" s="283" t="s">
        <v>301</v>
      </c>
      <c r="B25" s="116">
        <f>B24*365/1000</f>
        <v>1446.6836651855133</v>
      </c>
      <c r="C25" s="104" t="s">
        <v>300</v>
      </c>
    </row>
    <row r="26" spans="1:3" x14ac:dyDescent="0.2">
      <c r="A26" s="283" t="s">
        <v>61</v>
      </c>
      <c r="B26" s="284">
        <f>ROUNDUP(B22/(B14/B12/B13),0)</f>
        <v>24</v>
      </c>
      <c r="C26" s="104" t="s">
        <v>296</v>
      </c>
    </row>
    <row r="28" spans="1:3" x14ac:dyDescent="0.2">
      <c r="A28" s="104" t="s">
        <v>199</v>
      </c>
    </row>
    <row r="29" spans="1:3" x14ac:dyDescent="0.2">
      <c r="A29" s="117" t="s">
        <v>200</v>
      </c>
      <c r="B29" s="118">
        <f>入力用シート!D46</f>
        <v>170</v>
      </c>
      <c r="C29" s="104" t="s">
        <v>297</v>
      </c>
    </row>
    <row r="30" spans="1:3" x14ac:dyDescent="0.2">
      <c r="A30" s="117" t="s">
        <v>201</v>
      </c>
      <c r="B30" s="118">
        <f>入力用シート!D48</f>
        <v>48504</v>
      </c>
      <c r="C30" s="104" t="s">
        <v>298</v>
      </c>
    </row>
    <row r="31" spans="1:3" x14ac:dyDescent="0.2">
      <c r="A31" s="117" t="s">
        <v>204</v>
      </c>
      <c r="B31" s="118">
        <f>入力用シート!D49</f>
        <v>1781</v>
      </c>
      <c r="C31" s="104" t="s">
        <v>298</v>
      </c>
    </row>
    <row r="32" spans="1:3" x14ac:dyDescent="0.2">
      <c r="A32" s="117" t="s">
        <v>205</v>
      </c>
      <c r="B32" s="119">
        <f>入力用シート!D46*入力用シート!D47-B30</f>
        <v>2496</v>
      </c>
      <c r="C32" s="104" t="s">
        <v>298</v>
      </c>
    </row>
    <row r="33" spans="1:3" x14ac:dyDescent="0.2">
      <c r="A33" s="117" t="s">
        <v>206</v>
      </c>
      <c r="B33" s="120">
        <f>B32*IF(ISNUMBER(入力用シート!D50)=TRUE,入力用シート!D50/100,B31/B30)</f>
        <v>91.64967837704107</v>
      </c>
      <c r="C33" s="104" t="s">
        <v>298</v>
      </c>
    </row>
    <row r="35" spans="1:3" s="122" customFormat="1" x14ac:dyDescent="0.2">
      <c r="A35" s="121" t="s">
        <v>62</v>
      </c>
      <c r="C35" s="104"/>
    </row>
    <row r="36" spans="1:3" x14ac:dyDescent="0.2">
      <c r="A36" s="123" t="s">
        <v>20</v>
      </c>
      <c r="B36" s="124">
        <f>入力用シート!D15</f>
        <v>1763</v>
      </c>
      <c r="C36" s="104" t="s">
        <v>55</v>
      </c>
    </row>
    <row r="37" spans="1:3" ht="26.4" x14ac:dyDescent="0.2">
      <c r="A37" s="123" t="s">
        <v>26</v>
      </c>
      <c r="B37" s="124">
        <f>入力用シート!D14</f>
        <v>651</v>
      </c>
      <c r="C37" s="104" t="s">
        <v>317</v>
      </c>
    </row>
    <row r="38" spans="1:3" x14ac:dyDescent="0.2">
      <c r="A38" s="125" t="s">
        <v>21</v>
      </c>
      <c r="B38" s="126">
        <f>B36*B37/1000000</f>
        <v>1.147713</v>
      </c>
      <c r="C38" s="104" t="s">
        <v>304</v>
      </c>
    </row>
  </sheetData>
  <mergeCells count="2">
    <mergeCell ref="A6:C6"/>
    <mergeCell ref="A7:C7"/>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28"/>
  <sheetViews>
    <sheetView zoomScaleNormal="100" workbookViewId="0"/>
  </sheetViews>
  <sheetFormatPr defaultColWidth="9.33203125" defaultRowHeight="13.2" x14ac:dyDescent="0.2"/>
  <cols>
    <col min="1" max="1" width="3.6640625" style="5" customWidth="1"/>
    <col min="2" max="2" width="8.6640625" style="5" customWidth="1"/>
    <col min="3" max="3" width="18.33203125" style="5" customWidth="1"/>
    <col min="4" max="4" width="3.77734375" style="5" customWidth="1"/>
    <col min="5" max="6" width="12.6640625" style="5" customWidth="1"/>
    <col min="7" max="7" width="4.21875" style="5" customWidth="1"/>
    <col min="8" max="8" width="12.6640625" style="5" customWidth="1"/>
    <col min="9" max="100" width="11.77734375" style="5" customWidth="1"/>
    <col min="101" max="16384" width="9.33203125" style="5"/>
  </cols>
  <sheetData>
    <row r="1" spans="2:9" x14ac:dyDescent="0.2">
      <c r="B1" s="5" t="s">
        <v>327</v>
      </c>
    </row>
    <row r="2" spans="2:9" ht="16.2" x14ac:dyDescent="0.2">
      <c r="B2" s="6"/>
      <c r="C2" s="43"/>
      <c r="D2" s="5" t="s">
        <v>312</v>
      </c>
    </row>
    <row r="3" spans="2:9" ht="16.2" x14ac:dyDescent="0.2">
      <c r="B3" s="6"/>
      <c r="C3" s="44"/>
      <c r="D3" s="5" t="s">
        <v>313</v>
      </c>
    </row>
    <row r="4" spans="2:9" ht="16.2" x14ac:dyDescent="0.2">
      <c r="B4" s="6"/>
      <c r="C4" s="60"/>
      <c r="D4" s="5" t="s">
        <v>240</v>
      </c>
    </row>
    <row r="5" spans="2:9" ht="8.1" customHeight="1" x14ac:dyDescent="0.2"/>
    <row r="6" spans="2:9" ht="33" customHeight="1" x14ac:dyDescent="0.2">
      <c r="B6" s="214" t="s">
        <v>326</v>
      </c>
      <c r="C6" s="214"/>
      <c r="D6" s="214"/>
      <c r="E6" s="214"/>
      <c r="F6" s="214"/>
      <c r="G6" s="214"/>
      <c r="H6" s="214"/>
    </row>
    <row r="7" spans="2:9" ht="75" customHeight="1" x14ac:dyDescent="0.2">
      <c r="B7" s="215" t="s">
        <v>515</v>
      </c>
      <c r="C7" s="215"/>
      <c r="D7" s="215"/>
      <c r="E7" s="215"/>
      <c r="F7" s="215"/>
      <c r="G7" s="215"/>
      <c r="H7" s="215"/>
    </row>
    <row r="8" spans="2:9" ht="15" customHeight="1" x14ac:dyDescent="0.2">
      <c r="B8" s="5" t="s">
        <v>235</v>
      </c>
    </row>
    <row r="9" spans="2:9" ht="15" customHeight="1" x14ac:dyDescent="0.2">
      <c r="B9" s="216" t="s">
        <v>93</v>
      </c>
      <c r="C9" s="217"/>
      <c r="D9" s="218" t="s">
        <v>92</v>
      </c>
      <c r="E9" s="218"/>
      <c r="F9" s="49"/>
      <c r="G9" s="49"/>
      <c r="H9" s="49"/>
    </row>
    <row r="10" spans="2:9" ht="15" customHeight="1" x14ac:dyDescent="0.2">
      <c r="B10" s="224" t="s">
        <v>236</v>
      </c>
      <c r="C10" s="48" t="s">
        <v>243</v>
      </c>
      <c r="D10" s="222">
        <v>1.7</v>
      </c>
      <c r="E10" s="222"/>
      <c r="F10" s="49" t="s">
        <v>268</v>
      </c>
      <c r="G10" s="49"/>
      <c r="H10" s="49"/>
    </row>
    <row r="11" spans="2:9" ht="15" customHeight="1" x14ac:dyDescent="0.2">
      <c r="B11" s="225"/>
      <c r="C11" s="48" t="s">
        <v>244</v>
      </c>
      <c r="D11" s="222">
        <v>2.5</v>
      </c>
      <c r="E11" s="222"/>
      <c r="F11" s="49" t="s">
        <v>268</v>
      </c>
      <c r="G11" s="49"/>
      <c r="H11" s="49"/>
    </row>
    <row r="12" spans="2:9" ht="15" customHeight="1" x14ac:dyDescent="0.2">
      <c r="B12" s="219" t="s">
        <v>516</v>
      </c>
      <c r="C12" s="48" t="s">
        <v>243</v>
      </c>
      <c r="D12" s="223">
        <v>500</v>
      </c>
      <c r="E12" s="223"/>
      <c r="F12" s="49" t="s">
        <v>318</v>
      </c>
      <c r="G12" s="49"/>
      <c r="H12" s="49"/>
    </row>
    <row r="13" spans="2:9" ht="15" customHeight="1" x14ac:dyDescent="0.2">
      <c r="B13" s="220"/>
      <c r="C13" s="48" t="s">
        <v>244</v>
      </c>
      <c r="D13" s="223">
        <v>700</v>
      </c>
      <c r="E13" s="223"/>
      <c r="F13" s="49" t="s">
        <v>318</v>
      </c>
      <c r="G13" s="49"/>
      <c r="H13" s="49"/>
    </row>
    <row r="14" spans="2:9" ht="15" customHeight="1" x14ac:dyDescent="0.2">
      <c r="B14" s="33"/>
      <c r="D14" s="34"/>
      <c r="E14" s="35"/>
      <c r="F14" s="49"/>
      <c r="G14" s="49"/>
      <c r="H14" s="49"/>
      <c r="I14" s="49"/>
    </row>
    <row r="15" spans="2:9" ht="15" customHeight="1" x14ac:dyDescent="0.2">
      <c r="B15" s="221" t="s">
        <v>242</v>
      </c>
      <c r="C15" s="221"/>
      <c r="D15" s="34"/>
      <c r="E15" s="35"/>
      <c r="F15" s="49"/>
      <c r="G15" s="49"/>
      <c r="H15" s="49"/>
      <c r="I15" s="49"/>
    </row>
    <row r="16" spans="2:9" x14ac:dyDescent="0.2">
      <c r="B16" s="212" t="s">
        <v>175</v>
      </c>
      <c r="C16" s="213"/>
      <c r="D16" s="48" t="str">
        <f>IF(AND(SUM(入力用シート!D18:D22,入力用シート!D24:D25)&lt;1000,入力用シート!D17=1)=TRUE,1,"")</f>
        <v/>
      </c>
      <c r="E16" s="100" t="str">
        <f>IF(D16=1,D13,"")</f>
        <v/>
      </c>
      <c r="F16" s="5" t="s">
        <v>156</v>
      </c>
    </row>
    <row r="17" spans="2:6" x14ac:dyDescent="0.2">
      <c r="B17" s="212" t="s">
        <v>237</v>
      </c>
      <c r="C17" s="213"/>
      <c r="D17" s="48">
        <f>IF(AND(SUM(入力用シート!D18:D22,入力用シート!D24:D25)&lt;1000,入力用シート!D17=2)=TRUE,1,"")</f>
        <v>1</v>
      </c>
      <c r="E17" s="100">
        <f>IF(D17=1,D13,"")</f>
        <v>700</v>
      </c>
      <c r="F17" s="5" t="s">
        <v>156</v>
      </c>
    </row>
    <row r="18" spans="2:6" x14ac:dyDescent="0.2">
      <c r="B18" s="212" t="s">
        <v>74</v>
      </c>
      <c r="C18" s="213"/>
      <c r="D18" s="48" t="str">
        <f>IF(AND(SUM(入力用シート!D18:D22,入力用シート!D24:D25)&lt;1000,入力用シート!D17=3)=TRUE,1,"")</f>
        <v/>
      </c>
      <c r="E18" s="100" t="str">
        <f>IF(D18=1,D12,"")</f>
        <v/>
      </c>
      <c r="F18" s="5" t="s">
        <v>156</v>
      </c>
    </row>
    <row r="19" spans="2:6" x14ac:dyDescent="0.2">
      <c r="B19" s="212" t="s">
        <v>238</v>
      </c>
      <c r="C19" s="213"/>
      <c r="D19" s="48" t="str">
        <f>IF(AND(SUM(入力用シート!D18:D22,入力用シート!D24:D25)&lt;1000,入力用シート!D17=4)=TRUE,1,"")</f>
        <v/>
      </c>
      <c r="E19" s="100" t="str">
        <f>IF(D19=1,D12,"")</f>
        <v/>
      </c>
      <c r="F19" s="5" t="s">
        <v>156</v>
      </c>
    </row>
    <row r="20" spans="2:6" x14ac:dyDescent="0.2">
      <c r="D20" s="5" t="s">
        <v>314</v>
      </c>
    </row>
    <row r="21" spans="2:6" x14ac:dyDescent="0.2">
      <c r="B21" s="5" t="s">
        <v>241</v>
      </c>
    </row>
    <row r="22" spans="2:6" x14ac:dyDescent="0.2">
      <c r="B22" s="212" t="s">
        <v>175</v>
      </c>
      <c r="C22" s="213"/>
      <c r="D22" s="48" t="str">
        <f>IF(AND(SUM(入力用シート!D18:D22,入力用シート!D24:D25)&gt;=1000,入力用シート!D17=1)=TRUE,1,"")</f>
        <v/>
      </c>
      <c r="E22" s="100" t="str">
        <f>IF(D22=1,SUM(入力用シート!D18:D22,入力用シート!D24:D25)*D11,"")</f>
        <v/>
      </c>
      <c r="F22" s="5" t="s">
        <v>156</v>
      </c>
    </row>
    <row r="23" spans="2:6" x14ac:dyDescent="0.2">
      <c r="B23" s="212" t="s">
        <v>237</v>
      </c>
      <c r="C23" s="213"/>
      <c r="D23" s="48" t="str">
        <f>IF(AND(SUM(入力用シート!D18:D22,入力用シート!D24:D25)&gt;=1000,入力用シート!D17=2)=TRUE,1,"")</f>
        <v/>
      </c>
      <c r="E23" s="100" t="str">
        <f>IF(D23=1,SUM(入力用シート!D18:D22,入力用シート!D24:D25)*D11,"")</f>
        <v/>
      </c>
      <c r="F23" s="5" t="s">
        <v>156</v>
      </c>
    </row>
    <row r="24" spans="2:6" x14ac:dyDescent="0.2">
      <c r="B24" s="212" t="s">
        <v>74</v>
      </c>
      <c r="C24" s="213"/>
      <c r="D24" s="48" t="str">
        <f>IF(AND(SUM(入力用シート!D18:D22,入力用シート!D24:D25)&gt;=1000,入力用シート!D17=3)=TRUE,1,"")</f>
        <v/>
      </c>
      <c r="E24" s="100" t="str">
        <f>IF(D24=1,SUM(入力用シート!D18:D22,入力用シート!D24:D25)*D10,"")</f>
        <v/>
      </c>
      <c r="F24" s="5" t="s">
        <v>156</v>
      </c>
    </row>
    <row r="25" spans="2:6" x14ac:dyDescent="0.2">
      <c r="B25" s="212" t="s">
        <v>238</v>
      </c>
      <c r="C25" s="213"/>
      <c r="D25" s="48" t="str">
        <f>IF(AND(SUM(入力用シート!D18:D22,入力用シート!D24:D25)&gt;=1000,入力用シート!D17=4)=TRUE,1,"")</f>
        <v/>
      </c>
      <c r="E25" s="100" t="str">
        <f>IF(D25=1,SUM(入力用シート!D18:D22,入力用シート!D24:D25)*D10,"")</f>
        <v/>
      </c>
      <c r="F25" s="5" t="s">
        <v>156</v>
      </c>
    </row>
    <row r="26" spans="2:6" x14ac:dyDescent="0.2">
      <c r="D26" s="5" t="s">
        <v>314</v>
      </c>
    </row>
    <row r="28" spans="2:6" x14ac:dyDescent="0.2">
      <c r="B28" s="210" t="s">
        <v>239</v>
      </c>
      <c r="C28" s="210"/>
      <c r="D28" s="211">
        <f>ROUNDUP(VLOOKUP(1,D16:E25,2),-2)</f>
        <v>700</v>
      </c>
      <c r="E28" s="211"/>
      <c r="F28" s="5" t="s">
        <v>156</v>
      </c>
    </row>
  </sheetData>
  <mergeCells count="21">
    <mergeCell ref="B6:H6"/>
    <mergeCell ref="B7:H7"/>
    <mergeCell ref="B19:C19"/>
    <mergeCell ref="B9:C9"/>
    <mergeCell ref="D9:E9"/>
    <mergeCell ref="B12:B13"/>
    <mergeCell ref="B15:C15"/>
    <mergeCell ref="B16:C16"/>
    <mergeCell ref="D10:E10"/>
    <mergeCell ref="D12:E12"/>
    <mergeCell ref="D13:E13"/>
    <mergeCell ref="B10:B11"/>
    <mergeCell ref="D11:E11"/>
    <mergeCell ref="B28:C28"/>
    <mergeCell ref="D28:E28"/>
    <mergeCell ref="B17:C17"/>
    <mergeCell ref="B18:C18"/>
    <mergeCell ref="B22:C22"/>
    <mergeCell ref="B23:C23"/>
    <mergeCell ref="B24:C24"/>
    <mergeCell ref="B25:C25"/>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86"/>
  <sheetViews>
    <sheetView zoomScale="85" zoomScaleNormal="85" workbookViewId="0"/>
  </sheetViews>
  <sheetFormatPr defaultColWidth="9.33203125" defaultRowHeight="12" x14ac:dyDescent="0.2"/>
  <cols>
    <col min="1" max="1" width="3.21875" style="1" customWidth="1"/>
    <col min="2" max="2" width="8.33203125" style="1" customWidth="1"/>
    <col min="3" max="3" width="17.44140625" style="1" bestFit="1" customWidth="1"/>
    <col min="4" max="8" width="16.6640625" style="1" customWidth="1"/>
    <col min="9" max="96" width="11.77734375" style="1" customWidth="1"/>
    <col min="97" max="16384" width="9.33203125" style="1"/>
  </cols>
  <sheetData>
    <row r="1" spans="2:9" s="5" customFormat="1" ht="16.2" x14ac:dyDescent="0.2">
      <c r="B1" s="6" t="s">
        <v>275</v>
      </c>
      <c r="C1" s="6"/>
    </row>
    <row r="2" spans="2:9" s="5" customFormat="1" ht="8.1" customHeight="1" x14ac:dyDescent="0.2">
      <c r="B2" s="6"/>
      <c r="C2" s="6"/>
    </row>
    <row r="3" spans="2:9" s="5" customFormat="1" ht="16.2" x14ac:dyDescent="0.2">
      <c r="B3" s="6"/>
      <c r="C3" s="43"/>
      <c r="D3" s="5" t="s">
        <v>312</v>
      </c>
    </row>
    <row r="4" spans="2:9" s="5" customFormat="1" ht="16.2" x14ac:dyDescent="0.2">
      <c r="B4" s="6"/>
      <c r="C4" s="44"/>
      <c r="D4" s="5" t="s">
        <v>313</v>
      </c>
    </row>
    <row r="5" spans="2:9" s="5" customFormat="1" ht="16.2" x14ac:dyDescent="0.2">
      <c r="B5" s="6"/>
      <c r="C5" s="60"/>
      <c r="D5" s="5" t="s">
        <v>240</v>
      </c>
    </row>
    <row r="6" spans="2:9" s="5" customFormat="1" ht="18.75" customHeight="1" x14ac:dyDescent="0.2">
      <c r="B6" s="6"/>
      <c r="C6" s="6"/>
    </row>
    <row r="7" spans="2:9" s="5" customFormat="1" ht="38.25" customHeight="1" x14ac:dyDescent="0.2">
      <c r="B7" s="214" t="s">
        <v>247</v>
      </c>
      <c r="C7" s="210"/>
      <c r="D7" s="210"/>
      <c r="E7" s="210"/>
      <c r="F7" s="210"/>
    </row>
    <row r="8" spans="2:9" s="5" customFormat="1" ht="147" customHeight="1" x14ac:dyDescent="0.2">
      <c r="B8" s="285" t="s">
        <v>551</v>
      </c>
      <c r="C8" s="285"/>
      <c r="D8" s="285"/>
      <c r="E8" s="285"/>
      <c r="F8" s="285"/>
      <c r="H8" s="36"/>
    </row>
    <row r="9" spans="2:9" s="5" customFormat="1" ht="20.25" customHeight="1" x14ac:dyDescent="0.2">
      <c r="B9" s="214" t="s">
        <v>283</v>
      </c>
      <c r="C9" s="214"/>
      <c r="D9" s="214"/>
      <c r="E9" s="214"/>
      <c r="F9" s="214"/>
      <c r="H9" s="36"/>
    </row>
    <row r="10" spans="2:9" s="5" customFormat="1" ht="20.25" customHeight="1" x14ac:dyDescent="0.2">
      <c r="B10" s="214" t="s">
        <v>284</v>
      </c>
      <c r="C10" s="214"/>
      <c r="D10" s="214"/>
      <c r="E10" s="214"/>
      <c r="F10" s="214"/>
      <c r="H10" s="36"/>
    </row>
    <row r="11" spans="2:9" s="5" customFormat="1" ht="15" customHeight="1" x14ac:dyDescent="0.2">
      <c r="B11" s="5" t="s">
        <v>151</v>
      </c>
      <c r="C11" s="49"/>
      <c r="D11" s="49"/>
      <c r="E11" s="49"/>
      <c r="I11" s="36"/>
    </row>
    <row r="13" spans="2:9" s="5" customFormat="1" ht="15" customHeight="1" x14ac:dyDescent="0.2">
      <c r="C13" s="49"/>
      <c r="D13" s="49"/>
      <c r="E13" s="49"/>
      <c r="F13"/>
      <c r="G13"/>
      <c r="I13" s="36"/>
    </row>
    <row r="14" spans="2:9" s="5" customFormat="1" ht="15" customHeight="1" x14ac:dyDescent="0.2">
      <c r="C14" s="49"/>
      <c r="D14" s="49"/>
      <c r="E14" s="49"/>
      <c r="I14" s="36"/>
    </row>
    <row r="15" spans="2:9" s="5" customFormat="1" ht="15" customHeight="1" x14ac:dyDescent="0.2">
      <c r="B15" s="49"/>
      <c r="C15" s="49"/>
      <c r="D15" s="49"/>
      <c r="E15" s="49"/>
      <c r="I15" s="36"/>
    </row>
    <row r="16" spans="2:9" s="5" customFormat="1" ht="15" customHeight="1" x14ac:dyDescent="0.2">
      <c r="B16" s="49"/>
      <c r="C16" s="49"/>
      <c r="D16" s="49"/>
      <c r="E16" s="49" t="s">
        <v>267</v>
      </c>
      <c r="I16" s="36"/>
    </row>
    <row r="17" spans="2:9" s="5" customFormat="1" ht="15" customHeight="1" x14ac:dyDescent="0.2">
      <c r="B17" s="45" t="s">
        <v>248</v>
      </c>
      <c r="C17" s="187" t="s">
        <v>252</v>
      </c>
      <c r="D17" s="187"/>
      <c r="E17" s="286" t="e">
        <f>VLOOKUP(入力用シート!D7,固定資産データ!A2:C180,2,FALSE)</f>
        <v>#N/A</v>
      </c>
      <c r="F17" s="5" t="s">
        <v>265</v>
      </c>
      <c r="I17" s="36"/>
    </row>
    <row r="18" spans="2:9" s="5" customFormat="1" ht="15" customHeight="1" x14ac:dyDescent="0.2">
      <c r="B18" s="45" t="s">
        <v>249</v>
      </c>
      <c r="C18" s="187" t="s">
        <v>253</v>
      </c>
      <c r="D18" s="187"/>
      <c r="E18" s="286" t="e">
        <f>VLOOKUP(入力用シート!D7,固定資産データ!A2:C180,3,FALSE)</f>
        <v>#N/A</v>
      </c>
      <c r="F18" s="5" t="s">
        <v>265</v>
      </c>
      <c r="I18" s="36"/>
    </row>
    <row r="19" spans="2:9" s="5" customFormat="1" ht="15" customHeight="1" x14ac:dyDescent="0.2">
      <c r="B19" s="45" t="s">
        <v>157</v>
      </c>
      <c r="C19" s="187" t="s">
        <v>254</v>
      </c>
      <c r="D19" s="187"/>
      <c r="E19" s="52">
        <v>0.5</v>
      </c>
      <c r="F19" s="5" t="s">
        <v>266</v>
      </c>
      <c r="I19" s="36"/>
    </row>
    <row r="20" spans="2:9" s="5" customFormat="1" ht="15" customHeight="1" x14ac:dyDescent="0.2">
      <c r="B20" s="45" t="s">
        <v>158</v>
      </c>
      <c r="C20" s="187" t="s">
        <v>255</v>
      </c>
      <c r="D20" s="187"/>
      <c r="E20" s="52">
        <v>1.2</v>
      </c>
      <c r="F20" s="5" t="s">
        <v>266</v>
      </c>
      <c r="I20" s="36"/>
    </row>
    <row r="21" spans="2:9" s="5" customFormat="1" ht="15" customHeight="1" x14ac:dyDescent="0.2">
      <c r="B21" s="288" t="s">
        <v>526</v>
      </c>
      <c r="C21" s="289" t="s">
        <v>548</v>
      </c>
      <c r="D21" s="289"/>
      <c r="E21" s="287">
        <f>E19*(100-34)/100</f>
        <v>0.33</v>
      </c>
      <c r="F21" s="290" t="s">
        <v>266</v>
      </c>
      <c r="I21" s="36"/>
    </row>
    <row r="22" spans="2:9" s="5" customFormat="1" ht="15" customHeight="1" x14ac:dyDescent="0.2">
      <c r="B22" s="288" t="s">
        <v>527</v>
      </c>
      <c r="C22" s="289" t="s">
        <v>549</v>
      </c>
      <c r="D22" s="289"/>
      <c r="E22" s="287">
        <f>E20*(100-16)/100</f>
        <v>1.008</v>
      </c>
      <c r="F22" s="290" t="s">
        <v>266</v>
      </c>
      <c r="I22" s="36"/>
    </row>
    <row r="23" spans="2:9" s="5" customFormat="1" ht="15" customHeight="1" x14ac:dyDescent="0.2">
      <c r="B23" s="45" t="s">
        <v>250</v>
      </c>
      <c r="C23" s="187" t="s">
        <v>256</v>
      </c>
      <c r="D23" s="187"/>
      <c r="E23" s="53">
        <v>0.89200000000000002</v>
      </c>
      <c r="I23" s="36"/>
    </row>
    <row r="24" spans="2:9" s="5" customFormat="1" ht="15" customHeight="1" x14ac:dyDescent="0.2">
      <c r="B24" s="45" t="s">
        <v>251</v>
      </c>
      <c r="C24" s="187" t="s">
        <v>257</v>
      </c>
      <c r="D24" s="187"/>
      <c r="E24" s="53">
        <v>0.108</v>
      </c>
      <c r="I24" s="36"/>
    </row>
    <row r="25" spans="2:9" s="5" customFormat="1" ht="15" customHeight="1" x14ac:dyDescent="0.2">
      <c r="B25" s="49"/>
      <c r="C25" s="50"/>
      <c r="D25" s="50"/>
      <c r="E25" s="49"/>
      <c r="I25" s="36"/>
    </row>
    <row r="26" spans="2:9" s="5" customFormat="1" ht="15" customHeight="1" x14ac:dyDescent="0.2">
      <c r="B26" s="194" t="s">
        <v>262</v>
      </c>
      <c r="C26" s="194"/>
      <c r="D26" s="194"/>
      <c r="E26" s="4" t="s">
        <v>175</v>
      </c>
      <c r="F26" s="59" t="s">
        <v>261</v>
      </c>
      <c r="G26" s="59" t="s">
        <v>74</v>
      </c>
      <c r="H26" s="59" t="s">
        <v>238</v>
      </c>
      <c r="I26" s="36"/>
    </row>
    <row r="27" spans="2:9" s="5" customFormat="1" ht="15" customHeight="1" x14ac:dyDescent="0.2">
      <c r="B27" s="45" t="s">
        <v>159</v>
      </c>
      <c r="C27" s="187" t="s">
        <v>258</v>
      </c>
      <c r="D27" s="187"/>
      <c r="E27" s="54">
        <v>0.75</v>
      </c>
      <c r="F27" s="55">
        <v>1</v>
      </c>
      <c r="G27" s="55">
        <v>0.5</v>
      </c>
      <c r="H27" s="55">
        <v>0.5</v>
      </c>
      <c r="I27" s="36"/>
    </row>
    <row r="28" spans="2:9" s="5" customFormat="1" ht="15" customHeight="1" x14ac:dyDescent="0.2">
      <c r="B28" s="45" t="s">
        <v>160</v>
      </c>
      <c r="C28" s="187" t="s">
        <v>264</v>
      </c>
      <c r="D28" s="187"/>
      <c r="E28" s="52">
        <v>0.25</v>
      </c>
      <c r="F28" s="55">
        <v>0.25</v>
      </c>
      <c r="G28" s="55">
        <v>0.1</v>
      </c>
      <c r="H28" s="55">
        <v>0.1</v>
      </c>
      <c r="I28" s="36"/>
    </row>
    <row r="29" spans="2:9" s="5" customFormat="1" ht="29.25" customHeight="1" x14ac:dyDescent="0.2">
      <c r="B29" s="227" t="s">
        <v>528</v>
      </c>
      <c r="C29" s="227"/>
      <c r="D29" s="227"/>
      <c r="E29" s="227"/>
      <c r="F29" s="227"/>
      <c r="G29" s="227"/>
      <c r="H29" s="227"/>
      <c r="I29" s="36"/>
    </row>
    <row r="30" spans="2:9" s="5" customFormat="1" ht="15" customHeight="1" x14ac:dyDescent="0.2">
      <c r="B30" s="49"/>
      <c r="C30" s="50"/>
      <c r="D30" s="50"/>
      <c r="E30" s="49"/>
      <c r="I30" s="36"/>
    </row>
    <row r="31" spans="2:9" s="5" customFormat="1" ht="15" customHeight="1" x14ac:dyDescent="0.2">
      <c r="B31" s="194" t="s">
        <v>263</v>
      </c>
      <c r="C31" s="194"/>
      <c r="D31" s="194"/>
      <c r="E31" s="4" t="s">
        <v>175</v>
      </c>
      <c r="F31" s="59" t="s">
        <v>261</v>
      </c>
      <c r="G31" s="59" t="s">
        <v>74</v>
      </c>
      <c r="H31" s="59" t="s">
        <v>238</v>
      </c>
      <c r="I31" s="36"/>
    </row>
    <row r="32" spans="2:9" s="5" customFormat="1" ht="15" customHeight="1" x14ac:dyDescent="0.2">
      <c r="B32" s="45" t="s">
        <v>259</v>
      </c>
      <c r="C32" s="187" t="s">
        <v>260</v>
      </c>
      <c r="D32" s="187"/>
      <c r="E32" s="54">
        <v>53.5</v>
      </c>
      <c r="F32" s="55">
        <v>82.5</v>
      </c>
      <c r="G32" s="55">
        <v>30.3</v>
      </c>
      <c r="H32" s="55">
        <v>164</v>
      </c>
      <c r="I32" s="36" t="s">
        <v>268</v>
      </c>
    </row>
    <row r="33" spans="2:9" s="5" customFormat="1" ht="15" customHeight="1" x14ac:dyDescent="0.2">
      <c r="B33" s="49"/>
      <c r="C33" s="50"/>
      <c r="D33" s="50"/>
      <c r="E33" s="56"/>
      <c r="F33" s="57"/>
      <c r="G33" s="57"/>
      <c r="H33" s="57"/>
      <c r="I33" s="36"/>
    </row>
    <row r="34" spans="2:9" s="5" customFormat="1" ht="15" customHeight="1" x14ac:dyDescent="0.2">
      <c r="B34" s="194" t="s">
        <v>269</v>
      </c>
      <c r="C34" s="194"/>
      <c r="D34" s="194"/>
      <c r="E34" s="4" t="s">
        <v>175</v>
      </c>
      <c r="F34" s="59" t="s">
        <v>261</v>
      </c>
      <c r="G34" s="59" t="s">
        <v>74</v>
      </c>
      <c r="H34" s="59" t="s">
        <v>238</v>
      </c>
      <c r="I34" s="36"/>
    </row>
    <row r="35" spans="2:9" s="5" customFormat="1" ht="15" customHeight="1" x14ac:dyDescent="0.2">
      <c r="B35" s="187" t="s">
        <v>270</v>
      </c>
      <c r="C35" s="187"/>
      <c r="D35" s="187"/>
      <c r="E35" s="88">
        <v>3000</v>
      </c>
      <c r="F35" s="88">
        <v>3000</v>
      </c>
      <c r="G35" s="89">
        <v>900</v>
      </c>
      <c r="H35" s="88">
        <v>3000</v>
      </c>
      <c r="I35" s="36" t="s">
        <v>318</v>
      </c>
    </row>
    <row r="36" spans="2:9" s="5" customFormat="1" ht="15" customHeight="1" x14ac:dyDescent="0.2">
      <c r="B36" s="49"/>
      <c r="C36" s="50"/>
      <c r="D36" s="50"/>
      <c r="E36" s="56"/>
      <c r="F36" s="57"/>
      <c r="G36" s="57"/>
      <c r="H36" s="57"/>
      <c r="I36" s="36"/>
    </row>
    <row r="37" spans="2:9" s="5" customFormat="1" ht="15" customHeight="1" x14ac:dyDescent="0.2">
      <c r="B37" s="45" t="s">
        <v>150</v>
      </c>
      <c r="C37" s="145" t="e">
        <f>E17*E19*E23+E18*E20*E24</f>
        <v>#N/A</v>
      </c>
      <c r="D37" s="50" t="s">
        <v>268</v>
      </c>
      <c r="E37" s="51" t="s">
        <v>272</v>
      </c>
      <c r="F37" s="58">
        <f>入力用シート!D18+入力用シート!D24</f>
        <v>334</v>
      </c>
      <c r="G37" s="58" t="s">
        <v>273</v>
      </c>
      <c r="H37" s="58">
        <f>入力用シート!D19+入力用シート!D25</f>
        <v>597</v>
      </c>
      <c r="I37" s="36" t="s">
        <v>52</v>
      </c>
    </row>
    <row r="38" spans="2:9" s="5" customFormat="1" ht="15" customHeight="1" x14ac:dyDescent="0.2">
      <c r="B38" s="185"/>
      <c r="C38" s="186"/>
      <c r="D38" s="50"/>
      <c r="E38" s="51" t="s">
        <v>517</v>
      </c>
      <c r="F38" s="139">
        <f>入力用シート!D23*E23</f>
        <v>0.89200000000000002</v>
      </c>
      <c r="G38" s="58" t="s">
        <v>518</v>
      </c>
      <c r="H38" s="139">
        <f>入力用シート!D23*E24</f>
        <v>0.108</v>
      </c>
      <c r="I38" s="36" t="s">
        <v>52</v>
      </c>
    </row>
    <row r="39" spans="2:9" s="5" customFormat="1" ht="15" customHeight="1" x14ac:dyDescent="0.2">
      <c r="B39" s="229" t="s">
        <v>271</v>
      </c>
      <c r="C39" s="229"/>
      <c r="D39" s="34"/>
      <c r="E39" s="35"/>
      <c r="F39" s="49"/>
      <c r="G39" s="57"/>
      <c r="H39" s="57"/>
      <c r="I39" s="36"/>
    </row>
    <row r="40" spans="2:9" s="5" customFormat="1" ht="15" customHeight="1" x14ac:dyDescent="0.2">
      <c r="B40" s="212" t="s">
        <v>175</v>
      </c>
      <c r="C40" s="213"/>
      <c r="D40" s="48" t="str">
        <f>IF(AND(入力用シート!D18+入力用シート!D24&lt;10,入力用シート!D17=1)=TRUE,1,"")</f>
        <v/>
      </c>
      <c r="E40" s="100" t="str">
        <f>IF(D40=1,E35,"")</f>
        <v/>
      </c>
      <c r="F40" s="1" t="s">
        <v>156</v>
      </c>
      <c r="G40" s="57"/>
      <c r="H40" s="57"/>
      <c r="I40" s="36"/>
    </row>
    <row r="41" spans="2:9" s="5" customFormat="1" ht="15" customHeight="1" x14ac:dyDescent="0.2">
      <c r="B41" s="212" t="s">
        <v>237</v>
      </c>
      <c r="C41" s="213"/>
      <c r="D41" s="48" t="str">
        <f>IF(AND(入力用シート!D18+入力用シート!D24&lt;10,入力用シート!D17=2)=TRUE,1,"")</f>
        <v/>
      </c>
      <c r="E41" s="100" t="str">
        <f>IF(D41=1,F35,"")</f>
        <v/>
      </c>
      <c r="F41" s="1" t="s">
        <v>156</v>
      </c>
      <c r="G41" s="57"/>
      <c r="H41" s="57"/>
      <c r="I41" s="36"/>
    </row>
    <row r="42" spans="2:9" s="5" customFormat="1" ht="15" customHeight="1" x14ac:dyDescent="0.2">
      <c r="B42" s="212" t="s">
        <v>74</v>
      </c>
      <c r="C42" s="213"/>
      <c r="D42" s="48" t="str">
        <f>IF(AND(入力用シート!D18+入力用シート!D24&lt;10,入力用シート!D17=3)=TRUE,1,"")</f>
        <v/>
      </c>
      <c r="E42" s="100" t="str">
        <f>IF(D42=1,G35,"")</f>
        <v/>
      </c>
      <c r="F42" s="1" t="s">
        <v>156</v>
      </c>
      <c r="G42" s="57"/>
      <c r="H42" s="57"/>
      <c r="I42" s="36"/>
    </row>
    <row r="43" spans="2:9" s="5" customFormat="1" ht="15" customHeight="1" x14ac:dyDescent="0.2">
      <c r="B43" s="212" t="s">
        <v>238</v>
      </c>
      <c r="C43" s="213"/>
      <c r="D43" s="48" t="str">
        <f>IF(AND(入力用シート!D18+入力用シート!D24&lt;10,入力用シート!D17=4)=TRUE,1,"")</f>
        <v/>
      </c>
      <c r="E43" s="100" t="str">
        <f>IF(D43=1,H35,"")</f>
        <v/>
      </c>
      <c r="F43" s="1" t="s">
        <v>156</v>
      </c>
      <c r="G43" s="57"/>
      <c r="H43" s="57"/>
      <c r="I43" s="36"/>
    </row>
    <row r="44" spans="2:9" s="5" customFormat="1" ht="15" customHeight="1" x14ac:dyDescent="0.2">
      <c r="D44" s="5" t="s">
        <v>314</v>
      </c>
      <c r="E44" s="290"/>
      <c r="F44" s="291"/>
      <c r="G44" s="292"/>
      <c r="H44" s="292"/>
      <c r="I44" s="36"/>
    </row>
    <row r="45" spans="2:9" s="5" customFormat="1" ht="15" customHeight="1" x14ac:dyDescent="0.2">
      <c r="B45" s="5" t="s">
        <v>519</v>
      </c>
      <c r="E45" s="290"/>
      <c r="F45" s="291"/>
      <c r="G45" s="290" t="s">
        <v>529</v>
      </c>
      <c r="H45" s="292"/>
      <c r="I45" s="36"/>
    </row>
    <row r="46" spans="2:9" s="5" customFormat="1" ht="15" customHeight="1" x14ac:dyDescent="0.2">
      <c r="B46" s="212" t="s">
        <v>175</v>
      </c>
      <c r="C46" s="213"/>
      <c r="D46" s="48" t="str">
        <f>IF(AND(入力用シート!D18+入力用シート!D24&gt;=10,入力用シート!D17=1)=TRUE,1,"")</f>
        <v/>
      </c>
      <c r="E46" s="181" t="str">
        <f>IF(D46=1,F37*C37*E27+H37*C37*E28+F37*E32+G46,"")</f>
        <v/>
      </c>
      <c r="F46" s="291" t="s">
        <v>156</v>
      </c>
      <c r="G46" s="181" t="e">
        <f>(F38*E17*E21+H38*E18*E22)*F27+(F38+H38)*E32</f>
        <v>#N/A</v>
      </c>
      <c r="H46" s="290" t="s">
        <v>156</v>
      </c>
    </row>
    <row r="47" spans="2:9" s="5" customFormat="1" ht="15" customHeight="1" x14ac:dyDescent="0.2">
      <c r="B47" s="212" t="s">
        <v>237</v>
      </c>
      <c r="C47" s="213"/>
      <c r="D47" s="48">
        <f>IF(AND(入力用シート!D18+入力用シート!D24&gt;=10,入力用シート!D17=2)=TRUE,1,"")</f>
        <v>1</v>
      </c>
      <c r="E47" s="181" t="e">
        <f>IF(D47=1,F37*C37*F27+H37*C37*F28+F37*F32+G47,"")</f>
        <v>#N/A</v>
      </c>
      <c r="F47" s="291" t="s">
        <v>156</v>
      </c>
      <c r="G47" s="181" t="e">
        <f>(F38*E17*E21+H38*E18*E22)*F27+(F38+H38)*F32</f>
        <v>#N/A</v>
      </c>
      <c r="H47" s="290" t="s">
        <v>156</v>
      </c>
    </row>
    <row r="48" spans="2:9" s="5" customFormat="1" ht="15" customHeight="1" x14ac:dyDescent="0.2">
      <c r="B48" s="212" t="s">
        <v>74</v>
      </c>
      <c r="C48" s="213"/>
      <c r="D48" s="48" t="str">
        <f>IF(AND(入力用シート!D18+入力用シート!D24&gt;=10,入力用シート!D17=3)=TRUE,1,"")</f>
        <v/>
      </c>
      <c r="E48" s="181" t="str">
        <f>IF(D48=1,F37*C37*G27+H37*C37*G28+F37*G32,"")</f>
        <v/>
      </c>
      <c r="F48" s="291" t="s">
        <v>156</v>
      </c>
      <c r="G48" s="293"/>
      <c r="H48" s="293"/>
      <c r="I48" s="36"/>
    </row>
    <row r="49" spans="2:9" s="5" customFormat="1" ht="15" customHeight="1" x14ac:dyDescent="0.2">
      <c r="B49" s="212" t="s">
        <v>238</v>
      </c>
      <c r="C49" s="213"/>
      <c r="D49" s="48" t="str">
        <f>IF(AND(入力用シート!D18+入力用シート!D24&gt;=10,入力用シート!D17=4)=TRUE,1,"")</f>
        <v/>
      </c>
      <c r="E49" s="181" t="str">
        <f>IF(D49=1,F37*C37*H27+H37*C37*H28+F37*H32,"")</f>
        <v/>
      </c>
      <c r="F49" s="291" t="s">
        <v>156</v>
      </c>
      <c r="G49" s="293"/>
      <c r="H49" s="293"/>
      <c r="I49" s="36"/>
    </row>
    <row r="50" spans="2:9" s="5" customFormat="1" ht="15" customHeight="1" x14ac:dyDescent="0.2">
      <c r="D50" s="5" t="s">
        <v>314</v>
      </c>
      <c r="E50" s="294"/>
      <c r="F50" s="291"/>
      <c r="G50" s="292"/>
      <c r="H50" s="292"/>
      <c r="I50" s="36"/>
    </row>
    <row r="51" spans="2:9" s="5" customFormat="1" ht="15" customHeight="1" x14ac:dyDescent="0.2">
      <c r="E51" s="180"/>
      <c r="F51" s="1"/>
      <c r="G51" s="57"/>
      <c r="H51" s="57"/>
      <c r="I51" s="36"/>
    </row>
    <row r="52" spans="2:9" s="5" customFormat="1" ht="15" customHeight="1" x14ac:dyDescent="0.2">
      <c r="B52" s="210" t="s">
        <v>274</v>
      </c>
      <c r="C52" s="210"/>
      <c r="D52" s="211" t="e">
        <f>ROUNDUP(VLOOKUP(1,D40:E49,2),-2)</f>
        <v>#N/A</v>
      </c>
      <c r="E52" s="211"/>
      <c r="F52" s="1" t="s">
        <v>156</v>
      </c>
      <c r="G52" s="57"/>
      <c r="H52" s="144"/>
      <c r="I52" s="36"/>
    </row>
    <row r="53" spans="2:9" s="5" customFormat="1" ht="15" customHeight="1" x14ac:dyDescent="0.2">
      <c r="E53" s="180"/>
      <c r="F53" s="1"/>
      <c r="G53" s="57"/>
      <c r="H53" s="57"/>
      <c r="I53" s="36"/>
    </row>
    <row r="54" spans="2:9" s="5" customFormat="1" ht="15" customHeight="1" x14ac:dyDescent="0.2">
      <c r="B54" s="230" t="s">
        <v>276</v>
      </c>
      <c r="C54" s="231"/>
      <c r="D54" s="4" t="s">
        <v>521</v>
      </c>
      <c r="E54" s="59" t="s">
        <v>261</v>
      </c>
      <c r="F54" s="59" t="s">
        <v>74</v>
      </c>
      <c r="G54" s="59" t="s">
        <v>238</v>
      </c>
      <c r="H54" s="36"/>
    </row>
    <row r="55" spans="2:9" s="5" customFormat="1" ht="15" customHeight="1" x14ac:dyDescent="0.2">
      <c r="B55" s="228" t="s">
        <v>5</v>
      </c>
      <c r="C55" s="228"/>
      <c r="D55" s="64">
        <v>0.153</v>
      </c>
      <c r="E55" s="62">
        <v>0.05</v>
      </c>
      <c r="F55" s="63">
        <v>8.5999999999999993E-2</v>
      </c>
      <c r="G55" s="64">
        <v>2.4E-2</v>
      </c>
      <c r="H55" s="36"/>
    </row>
    <row r="56" spans="2:9" s="5" customFormat="1" ht="15" customHeight="1" x14ac:dyDescent="0.2">
      <c r="B56" s="228" t="s">
        <v>7</v>
      </c>
      <c r="C56" s="228"/>
      <c r="D56" s="63">
        <v>5.3999999999999999E-2</v>
      </c>
      <c r="E56" s="65">
        <v>0.17</v>
      </c>
      <c r="F56" s="63">
        <v>8.5000000000000006E-2</v>
      </c>
      <c r="G56" s="64">
        <v>5.7000000000000002E-2</v>
      </c>
      <c r="H56" s="36"/>
    </row>
    <row r="57" spans="2:9" s="5" customFormat="1" ht="15" customHeight="1" x14ac:dyDescent="0.2">
      <c r="B57" s="228" t="s">
        <v>8</v>
      </c>
      <c r="C57" s="228"/>
      <c r="D57" s="63">
        <v>0.3</v>
      </c>
      <c r="E57" s="65">
        <v>0.3</v>
      </c>
      <c r="F57" s="63">
        <v>0.21299999999999999</v>
      </c>
      <c r="G57" s="64">
        <v>0.03</v>
      </c>
      <c r="H57" s="36"/>
    </row>
    <row r="58" spans="2:9" s="5" customFormat="1" ht="15" customHeight="1" x14ac:dyDescent="0.2">
      <c r="B58" s="228" t="s">
        <v>4</v>
      </c>
      <c r="C58" s="228"/>
      <c r="D58" s="63">
        <v>0.48499999999999999</v>
      </c>
      <c r="E58" s="65">
        <v>0.41</v>
      </c>
      <c r="F58" s="63">
        <v>0.3</v>
      </c>
      <c r="G58" s="64">
        <v>3.2000000000000001E-2</v>
      </c>
      <c r="H58" s="36"/>
    </row>
    <row r="59" spans="2:9" s="5" customFormat="1" ht="15" customHeight="1" x14ac:dyDescent="0.2">
      <c r="B59" s="228" t="s">
        <v>94</v>
      </c>
      <c r="C59" s="228"/>
      <c r="D59" s="63">
        <v>8.0000000000000002E-3</v>
      </c>
      <c r="E59" s="63">
        <v>0.03</v>
      </c>
      <c r="F59" s="63">
        <v>1.4E-2</v>
      </c>
      <c r="G59" s="64">
        <v>3.0000000000000001E-3</v>
      </c>
      <c r="H59" s="36"/>
    </row>
    <row r="60" spans="2:9" s="5" customFormat="1" ht="15" customHeight="1" x14ac:dyDescent="0.2">
      <c r="B60" s="210" t="s">
        <v>95</v>
      </c>
      <c r="C60" s="210"/>
      <c r="D60" s="177" t="s">
        <v>539</v>
      </c>
      <c r="E60" s="63">
        <v>0.04</v>
      </c>
      <c r="F60" s="63">
        <v>1.2E-2</v>
      </c>
      <c r="G60" s="64">
        <v>0.14899999999999999</v>
      </c>
      <c r="H60" s="36"/>
    </row>
    <row r="61" spans="2:9" s="5" customFormat="1" ht="13.2" x14ac:dyDescent="0.2">
      <c r="B61" s="210" t="s">
        <v>100</v>
      </c>
      <c r="C61" s="210"/>
      <c r="D61" s="66" t="s">
        <v>220</v>
      </c>
      <c r="E61" s="66" t="s">
        <v>220</v>
      </c>
      <c r="F61" s="63">
        <v>0.28999999999999998</v>
      </c>
      <c r="G61" s="64">
        <v>0.70499999999999996</v>
      </c>
    </row>
    <row r="62" spans="2:9" s="5" customFormat="1" ht="13.2" x14ac:dyDescent="0.2">
      <c r="B62" s="226" t="s">
        <v>281</v>
      </c>
      <c r="C62" s="226"/>
      <c r="D62" s="59" t="s">
        <v>277</v>
      </c>
      <c r="E62" s="61" t="s">
        <v>278</v>
      </c>
      <c r="F62" s="59" t="s">
        <v>279</v>
      </c>
      <c r="G62" s="59" t="s">
        <v>280</v>
      </c>
    </row>
    <row r="63" spans="2:9" s="5" customFormat="1" ht="13.2" x14ac:dyDescent="0.2"/>
    <row r="64" spans="2:9" ht="13.2" x14ac:dyDescent="0.2">
      <c r="B64" s="226" t="s">
        <v>282</v>
      </c>
      <c r="C64" s="226"/>
      <c r="D64" s="100">
        <f>入力用シート!D26*0.024</f>
        <v>1243920</v>
      </c>
      <c r="E64" s="5"/>
      <c r="F64" s="5"/>
      <c r="G64" s="5"/>
    </row>
    <row r="65" spans="2:8" ht="13.2" x14ac:dyDescent="0.2">
      <c r="B65" s="5"/>
      <c r="C65" s="5"/>
      <c r="D65" s="5"/>
      <c r="E65" s="5"/>
      <c r="F65" s="5"/>
      <c r="G65" s="5"/>
    </row>
    <row r="66" spans="2:8" ht="13.2" x14ac:dyDescent="0.2">
      <c r="B66" s="230" t="s">
        <v>276</v>
      </c>
      <c r="C66" s="231"/>
      <c r="D66" s="4" t="s">
        <v>175</v>
      </c>
      <c r="E66" s="59" t="s">
        <v>261</v>
      </c>
      <c r="F66" s="59" t="s">
        <v>74</v>
      </c>
      <c r="G66" s="59" t="s">
        <v>238</v>
      </c>
    </row>
    <row r="67" spans="2:8" ht="13.2" x14ac:dyDescent="0.2">
      <c r="B67" s="31"/>
      <c r="C67" s="32"/>
      <c r="D67" s="4">
        <v>1</v>
      </c>
      <c r="E67" s="59">
        <v>2</v>
      </c>
      <c r="F67" s="59">
        <v>3</v>
      </c>
      <c r="G67" s="59">
        <v>4</v>
      </c>
    </row>
    <row r="68" spans="2:8" ht="13.2" x14ac:dyDescent="0.2">
      <c r="B68" s="228" t="s">
        <v>5</v>
      </c>
      <c r="C68" s="228"/>
      <c r="D68" s="181" t="e">
        <f>D$52*D55</f>
        <v>#N/A</v>
      </c>
      <c r="E68" s="181" t="e">
        <f t="shared" ref="E68:G73" si="0">$D$52*E55</f>
        <v>#N/A</v>
      </c>
      <c r="F68" s="181" t="e">
        <f t="shared" si="0"/>
        <v>#N/A</v>
      </c>
      <c r="G68" s="181" t="e">
        <f t="shared" si="0"/>
        <v>#N/A</v>
      </c>
      <c r="H68" s="1" t="s">
        <v>156</v>
      </c>
    </row>
    <row r="69" spans="2:8" ht="13.2" x14ac:dyDescent="0.2">
      <c r="B69" s="228" t="s">
        <v>7</v>
      </c>
      <c r="C69" s="228"/>
      <c r="D69" s="181" t="e">
        <f t="shared" ref="D69:D72" si="1">D$52*D56</f>
        <v>#N/A</v>
      </c>
      <c r="E69" s="181" t="e">
        <f t="shared" si="0"/>
        <v>#N/A</v>
      </c>
      <c r="F69" s="181" t="e">
        <f t="shared" si="0"/>
        <v>#N/A</v>
      </c>
      <c r="G69" s="181" t="e">
        <f t="shared" si="0"/>
        <v>#N/A</v>
      </c>
      <c r="H69" s="1" t="s">
        <v>156</v>
      </c>
    </row>
    <row r="70" spans="2:8" ht="13.2" x14ac:dyDescent="0.2">
      <c r="B70" s="228" t="s">
        <v>8</v>
      </c>
      <c r="C70" s="228"/>
      <c r="D70" s="181" t="e">
        <f t="shared" si="1"/>
        <v>#N/A</v>
      </c>
      <c r="E70" s="181" t="e">
        <f t="shared" si="0"/>
        <v>#N/A</v>
      </c>
      <c r="F70" s="181" t="e">
        <f t="shared" si="0"/>
        <v>#N/A</v>
      </c>
      <c r="G70" s="181" t="e">
        <f t="shared" si="0"/>
        <v>#N/A</v>
      </c>
      <c r="H70" s="1" t="s">
        <v>156</v>
      </c>
    </row>
    <row r="71" spans="2:8" ht="13.2" x14ac:dyDescent="0.2">
      <c r="B71" s="228" t="s">
        <v>4</v>
      </c>
      <c r="C71" s="228"/>
      <c r="D71" s="181" t="e">
        <f t="shared" si="1"/>
        <v>#N/A</v>
      </c>
      <c r="E71" s="181" t="e">
        <f t="shared" si="0"/>
        <v>#N/A</v>
      </c>
      <c r="F71" s="181" t="e">
        <f t="shared" si="0"/>
        <v>#N/A</v>
      </c>
      <c r="G71" s="181" t="e">
        <f t="shared" si="0"/>
        <v>#N/A</v>
      </c>
      <c r="H71" s="1" t="s">
        <v>156</v>
      </c>
    </row>
    <row r="72" spans="2:8" ht="13.2" x14ac:dyDescent="0.2">
      <c r="B72" s="228" t="s">
        <v>94</v>
      </c>
      <c r="C72" s="228"/>
      <c r="D72" s="181" t="e">
        <f t="shared" si="1"/>
        <v>#N/A</v>
      </c>
      <c r="E72" s="181" t="e">
        <f t="shared" si="0"/>
        <v>#N/A</v>
      </c>
      <c r="F72" s="181" t="e">
        <f t="shared" si="0"/>
        <v>#N/A</v>
      </c>
      <c r="G72" s="181" t="e">
        <f t="shared" si="0"/>
        <v>#N/A</v>
      </c>
      <c r="H72" s="1" t="s">
        <v>156</v>
      </c>
    </row>
    <row r="73" spans="2:8" ht="13.2" x14ac:dyDescent="0.2">
      <c r="B73" s="210" t="s">
        <v>95</v>
      </c>
      <c r="C73" s="210"/>
      <c r="D73" s="181">
        <v>0</v>
      </c>
      <c r="E73" s="181" t="e">
        <f t="shared" si="0"/>
        <v>#N/A</v>
      </c>
      <c r="F73" s="181" t="e">
        <f t="shared" si="0"/>
        <v>#N/A</v>
      </c>
      <c r="G73" s="181" t="e">
        <f t="shared" si="0"/>
        <v>#N/A</v>
      </c>
      <c r="H73" s="1" t="s">
        <v>156</v>
      </c>
    </row>
    <row r="74" spans="2:8" ht="13.2" x14ac:dyDescent="0.2">
      <c r="B74" s="210" t="s">
        <v>100</v>
      </c>
      <c r="C74" s="210"/>
      <c r="D74" s="146">
        <v>0</v>
      </c>
      <c r="E74" s="146">
        <f>D64</f>
        <v>1243920</v>
      </c>
      <c r="F74" s="100" t="e">
        <f>$D$52*F61</f>
        <v>#N/A</v>
      </c>
      <c r="G74" s="181" t="e">
        <f>$D$52*G61</f>
        <v>#N/A</v>
      </c>
      <c r="H74" s="1" t="s">
        <v>156</v>
      </c>
    </row>
    <row r="75" spans="2:8" ht="13.2" x14ac:dyDescent="0.2">
      <c r="B75" s="226" t="s">
        <v>6</v>
      </c>
      <c r="C75" s="226"/>
      <c r="D75" s="181" t="e">
        <f>SUM(D68:D73)</f>
        <v>#N/A</v>
      </c>
      <c r="E75" s="181" t="e">
        <f t="shared" ref="E75" si="2">SUM(E68:E73)</f>
        <v>#N/A</v>
      </c>
      <c r="F75" s="181" t="e">
        <f>SUM(F68:F74)</f>
        <v>#N/A</v>
      </c>
      <c r="G75" s="181" t="e">
        <f>SUM(G68:G74)</f>
        <v>#N/A</v>
      </c>
      <c r="H75" s="1" t="s">
        <v>156</v>
      </c>
    </row>
    <row r="76" spans="2:8" ht="13.2" x14ac:dyDescent="0.2">
      <c r="B76" s="5"/>
      <c r="C76" s="5"/>
      <c r="D76" s="5"/>
      <c r="E76" s="5"/>
      <c r="F76" s="5"/>
    </row>
    <row r="77" spans="2:8" ht="13.2" x14ac:dyDescent="0.2">
      <c r="B77" s="5"/>
      <c r="C77" s="5"/>
      <c r="D77" s="5"/>
      <c r="E77" s="5"/>
      <c r="F77" s="5"/>
    </row>
    <row r="78" spans="2:8" ht="13.2" x14ac:dyDescent="0.2">
      <c r="B78" s="5" t="s">
        <v>520</v>
      </c>
      <c r="C78" s="5"/>
      <c r="D78" s="5"/>
      <c r="E78" s="5"/>
      <c r="F78" s="5"/>
    </row>
    <row r="79" spans="2:8" ht="13.2" x14ac:dyDescent="0.2">
      <c r="B79" s="228" t="s">
        <v>5</v>
      </c>
      <c r="C79" s="228"/>
      <c r="D79" s="179" t="e">
        <f>HLOOKUP(入力用シート!$D$17,解体等廃棄物発生量!$D$67:$G$74,2)</f>
        <v>#N/A</v>
      </c>
      <c r="E79" s="5" t="s">
        <v>156</v>
      </c>
      <c r="F79" s="5"/>
    </row>
    <row r="80" spans="2:8" ht="13.2" x14ac:dyDescent="0.2">
      <c r="B80" s="228" t="s">
        <v>7</v>
      </c>
      <c r="C80" s="228"/>
      <c r="D80" s="179" t="e">
        <f>HLOOKUP(入力用シート!$D$17,解体等廃棄物発生量!$D$67:$G$74,3)</f>
        <v>#N/A</v>
      </c>
      <c r="E80" s="5" t="s">
        <v>156</v>
      </c>
      <c r="F80" s="5"/>
    </row>
    <row r="81" spans="2:6" ht="13.2" x14ac:dyDescent="0.2">
      <c r="B81" s="228" t="s">
        <v>8</v>
      </c>
      <c r="C81" s="228"/>
      <c r="D81" s="179" t="e">
        <f>HLOOKUP(入力用シート!$D$17,解体等廃棄物発生量!$D$67:$G$74,4)</f>
        <v>#N/A</v>
      </c>
      <c r="E81" s="5" t="s">
        <v>156</v>
      </c>
      <c r="F81" s="5"/>
    </row>
    <row r="82" spans="2:6" ht="13.2" x14ac:dyDescent="0.2">
      <c r="B82" s="228" t="s">
        <v>4</v>
      </c>
      <c r="C82" s="228"/>
      <c r="D82" s="179" t="e">
        <f>HLOOKUP(入力用シート!$D$17,解体等廃棄物発生量!$D$67:$G$74,5)</f>
        <v>#N/A</v>
      </c>
      <c r="E82" s="5" t="s">
        <v>156</v>
      </c>
      <c r="F82" s="5"/>
    </row>
    <row r="83" spans="2:6" ht="13.2" x14ac:dyDescent="0.2">
      <c r="B83" s="228" t="s">
        <v>94</v>
      </c>
      <c r="C83" s="228"/>
      <c r="D83" s="179" t="e">
        <f>HLOOKUP(入力用シート!$D$17,解体等廃棄物発生量!$D$67:$G$74,6)</f>
        <v>#N/A</v>
      </c>
      <c r="E83" s="5" t="s">
        <v>156</v>
      </c>
      <c r="F83" s="5"/>
    </row>
    <row r="84" spans="2:6" ht="13.2" x14ac:dyDescent="0.2">
      <c r="B84" s="210" t="s">
        <v>95</v>
      </c>
      <c r="C84" s="210"/>
      <c r="D84" s="179" t="e">
        <f>HLOOKUP(入力用シート!$D$17,解体等廃棄物発生量!$D$67:$G$74,7)</f>
        <v>#N/A</v>
      </c>
      <c r="E84" s="5" t="s">
        <v>156</v>
      </c>
      <c r="F84" s="182" t="e">
        <f>SUM(D79:D84)</f>
        <v>#N/A</v>
      </c>
    </row>
    <row r="85" spans="2:6" ht="13.2" x14ac:dyDescent="0.2">
      <c r="B85" s="210" t="str">
        <f>IF(入力用シート!$D$17=2,"津波堆積物","土砂")</f>
        <v>津波堆積物</v>
      </c>
      <c r="C85" s="210"/>
      <c r="D85" s="179">
        <f>HLOOKUP(入力用シート!$D$17,解体等廃棄物発生量!$D$67:$G$74,8)</f>
        <v>1243920</v>
      </c>
      <c r="E85" s="5" t="s">
        <v>156</v>
      </c>
      <c r="F85" s="5"/>
    </row>
    <row r="86" spans="2:6" ht="13.2" x14ac:dyDescent="0.2">
      <c r="B86" s="5"/>
      <c r="C86" s="5"/>
      <c r="D86" s="5"/>
      <c r="E86" s="5"/>
      <c r="F86" s="5"/>
    </row>
  </sheetData>
  <mergeCells count="57">
    <mergeCell ref="B79:C79"/>
    <mergeCell ref="B66:C66"/>
    <mergeCell ref="B68:C68"/>
    <mergeCell ref="B69:C69"/>
    <mergeCell ref="B70:C70"/>
    <mergeCell ref="B71:C71"/>
    <mergeCell ref="B72:C72"/>
    <mergeCell ref="B73:C73"/>
    <mergeCell ref="B74:C74"/>
    <mergeCell ref="B75:C75"/>
    <mergeCell ref="B60:C60"/>
    <mergeCell ref="B54:C54"/>
    <mergeCell ref="B61:C61"/>
    <mergeCell ref="B62:C62"/>
    <mergeCell ref="B55:C55"/>
    <mergeCell ref="B56:C56"/>
    <mergeCell ref="B57:C57"/>
    <mergeCell ref="B58:C58"/>
    <mergeCell ref="B59:C59"/>
    <mergeCell ref="D52:E52"/>
    <mergeCell ref="B43:C43"/>
    <mergeCell ref="B46:C46"/>
    <mergeCell ref="B47:C47"/>
    <mergeCell ref="B48:C48"/>
    <mergeCell ref="B49:C49"/>
    <mergeCell ref="B80:C80"/>
    <mergeCell ref="B84:C84"/>
    <mergeCell ref="B83:C83"/>
    <mergeCell ref="B7:F7"/>
    <mergeCell ref="B8:F8"/>
    <mergeCell ref="C17:D17"/>
    <mergeCell ref="C18:D18"/>
    <mergeCell ref="C19:D19"/>
    <mergeCell ref="B9:F9"/>
    <mergeCell ref="B10:F10"/>
    <mergeCell ref="B34:D34"/>
    <mergeCell ref="B39:C39"/>
    <mergeCell ref="B40:C40"/>
    <mergeCell ref="B41:C41"/>
    <mergeCell ref="B42:C42"/>
    <mergeCell ref="B52:C52"/>
    <mergeCell ref="C21:D21"/>
    <mergeCell ref="C22:D22"/>
    <mergeCell ref="B85:C85"/>
    <mergeCell ref="B64:C64"/>
    <mergeCell ref="C20:D20"/>
    <mergeCell ref="C23:D23"/>
    <mergeCell ref="C24:D24"/>
    <mergeCell ref="C27:D27"/>
    <mergeCell ref="C28:D28"/>
    <mergeCell ref="C32:D32"/>
    <mergeCell ref="B26:D26"/>
    <mergeCell ref="B31:D31"/>
    <mergeCell ref="B29:H29"/>
    <mergeCell ref="B35:D35"/>
    <mergeCell ref="B81:C81"/>
    <mergeCell ref="B82:C82"/>
  </mergeCells>
  <phoneticPr fontId="2"/>
  <pageMargins left="0.7" right="0.7" top="0.75" bottom="0.75" header="0.3" footer="0.3"/>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31"/>
  <sheetViews>
    <sheetView zoomScale="90" zoomScaleNormal="90" workbookViewId="0"/>
  </sheetViews>
  <sheetFormatPr defaultColWidth="9.33203125" defaultRowHeight="18.75" customHeight="1" x14ac:dyDescent="0.2"/>
  <cols>
    <col min="1" max="1" width="3.6640625" style="83" customWidth="1"/>
    <col min="2" max="2" width="21.88671875" style="83" customWidth="1"/>
    <col min="3" max="3" width="15.109375" style="83" customWidth="1"/>
    <col min="4" max="4" width="14" style="83" customWidth="1"/>
    <col min="5" max="5" width="10.88671875" style="83" customWidth="1"/>
    <col min="6" max="6" width="12.77734375" style="83" customWidth="1"/>
    <col min="7" max="7" width="10" style="83" customWidth="1"/>
    <col min="8" max="9" width="12.77734375" style="83" customWidth="1"/>
    <col min="10" max="10" width="28.109375" style="83" customWidth="1"/>
    <col min="11" max="18" width="12.77734375" style="83" customWidth="1"/>
    <col min="19" max="16384" width="9.33203125" style="83"/>
  </cols>
  <sheetData>
    <row r="1" spans="2:7" s="5" customFormat="1" ht="18.75" customHeight="1" x14ac:dyDescent="0.2">
      <c r="B1" s="6" t="s">
        <v>64</v>
      </c>
    </row>
    <row r="2" spans="2:7" s="5" customFormat="1" ht="19.5" customHeight="1" x14ac:dyDescent="0.2">
      <c r="B2" s="6"/>
    </row>
    <row r="3" spans="2:7" s="5" customFormat="1" ht="16.2" x14ac:dyDescent="0.2">
      <c r="B3" s="6"/>
      <c r="C3" s="43"/>
      <c r="D3" s="5" t="s">
        <v>312</v>
      </c>
    </row>
    <row r="4" spans="2:7" s="5" customFormat="1" ht="16.2" x14ac:dyDescent="0.2">
      <c r="B4" s="6"/>
      <c r="C4" s="44"/>
      <c r="D4" s="5" t="s">
        <v>313</v>
      </c>
    </row>
    <row r="5" spans="2:7" s="5" customFormat="1" ht="16.2" x14ac:dyDescent="0.2">
      <c r="B5" s="6"/>
      <c r="C5" s="60"/>
      <c r="D5" s="5" t="s">
        <v>240</v>
      </c>
    </row>
    <row r="6" spans="2:7" s="5" customFormat="1" ht="18.75" customHeight="1" x14ac:dyDescent="0.2">
      <c r="B6" s="6"/>
      <c r="C6" s="1"/>
    </row>
    <row r="7" spans="2:7" s="5" customFormat="1" ht="98.25" customHeight="1" x14ac:dyDescent="0.2">
      <c r="B7" s="215" t="s">
        <v>292</v>
      </c>
      <c r="C7" s="215"/>
      <c r="D7" s="215"/>
      <c r="E7" s="215"/>
      <c r="F7" s="215"/>
      <c r="G7" s="215"/>
    </row>
    <row r="8" spans="2:7" s="5" customFormat="1" ht="18.75" customHeight="1" x14ac:dyDescent="0.2">
      <c r="B8" s="240" t="s">
        <v>285</v>
      </c>
      <c r="C8" s="240"/>
      <c r="D8" s="240"/>
      <c r="E8" s="240"/>
      <c r="F8" s="240"/>
      <c r="G8" s="240"/>
    </row>
    <row r="9" spans="2:7" s="5" customFormat="1" ht="18.75" customHeight="1" x14ac:dyDescent="0.2">
      <c r="B9" s="68"/>
      <c r="C9" s="68"/>
      <c r="D9" s="68"/>
      <c r="E9" s="68"/>
      <c r="F9" s="68"/>
      <c r="G9" s="68"/>
    </row>
    <row r="10" spans="2:7" s="5" customFormat="1" ht="18.75" customHeight="1" x14ac:dyDescent="0.2">
      <c r="B10" s="68" t="s">
        <v>286</v>
      </c>
      <c r="C10" s="68"/>
      <c r="D10" s="68"/>
      <c r="E10" s="68"/>
      <c r="F10" s="68"/>
      <c r="G10" s="68"/>
    </row>
    <row r="11" spans="2:7" s="5" customFormat="1" ht="18.75" customHeight="1" x14ac:dyDescent="0.2">
      <c r="B11" s="71" t="s">
        <v>1</v>
      </c>
      <c r="C11" s="84">
        <v>0.4</v>
      </c>
      <c r="D11" s="72" t="s">
        <v>9</v>
      </c>
      <c r="E11" s="68"/>
      <c r="F11" s="68"/>
      <c r="G11" s="67"/>
    </row>
    <row r="12" spans="2:7" s="5" customFormat="1" ht="18.75" customHeight="1" x14ac:dyDescent="0.2">
      <c r="B12" s="71" t="s">
        <v>2</v>
      </c>
      <c r="C12" s="84">
        <v>1.1000000000000001</v>
      </c>
      <c r="D12" s="72" t="s">
        <v>9</v>
      </c>
      <c r="E12" s="68"/>
      <c r="F12" s="68"/>
      <c r="G12" s="67"/>
    </row>
    <row r="13" spans="2:7" s="69" customFormat="1" ht="18.75" customHeight="1" x14ac:dyDescent="0.2">
      <c r="B13" s="71" t="s">
        <v>30</v>
      </c>
      <c r="C13" s="84">
        <v>1.1000000000000001</v>
      </c>
      <c r="D13" s="72" t="s">
        <v>9</v>
      </c>
    </row>
    <row r="14" spans="2:7" s="69" customFormat="1" ht="18.75" customHeight="1" x14ac:dyDescent="0.2">
      <c r="B14" s="71" t="s">
        <v>288</v>
      </c>
      <c r="C14" s="84">
        <v>5</v>
      </c>
      <c r="D14" s="72" t="s">
        <v>289</v>
      </c>
    </row>
    <row r="15" spans="2:7" s="69" customFormat="1" ht="18.75" customHeight="1" x14ac:dyDescent="0.2">
      <c r="B15" s="71" t="s">
        <v>10</v>
      </c>
      <c r="C15" s="84">
        <v>1</v>
      </c>
      <c r="D15" s="72"/>
    </row>
    <row r="16" spans="2:7" s="69" customFormat="1" ht="18.75" customHeight="1" x14ac:dyDescent="0.2">
      <c r="B16" s="241" t="s">
        <v>287</v>
      </c>
      <c r="C16" s="241"/>
    </row>
    <row r="17" spans="2:7" s="69" customFormat="1" ht="18.75" customHeight="1" x14ac:dyDescent="0.2">
      <c r="B17" s="86" t="s">
        <v>293</v>
      </c>
      <c r="C17" s="87" t="s">
        <v>328</v>
      </c>
      <c r="D17" s="69" t="s">
        <v>321</v>
      </c>
    </row>
    <row r="18" spans="2:7" s="69" customFormat="1" ht="18.75" customHeight="1" x14ac:dyDescent="0.2">
      <c r="B18" s="71" t="s">
        <v>290</v>
      </c>
      <c r="C18" s="297">
        <f>+入力用シート!D51</f>
        <v>2.7</v>
      </c>
      <c r="D18" s="72">
        <f>IF(C17=0,0,1/C18)</f>
        <v>0.37037037037037035</v>
      </c>
    </row>
    <row r="19" spans="2:7" s="69" customFormat="1" ht="18.75" customHeight="1" x14ac:dyDescent="0.2">
      <c r="B19" s="72"/>
      <c r="C19" s="73"/>
      <c r="E19" s="72"/>
    </row>
    <row r="20" spans="2:7" s="69" customFormat="1" ht="36" customHeight="1" x14ac:dyDescent="0.2">
      <c r="B20" s="71"/>
      <c r="C20" s="85" t="s">
        <v>65</v>
      </c>
      <c r="D20" s="59"/>
      <c r="E20" s="70" t="s">
        <v>291</v>
      </c>
      <c r="F20" s="74" t="s">
        <v>66</v>
      </c>
      <c r="G20" s="74" t="s">
        <v>319</v>
      </c>
    </row>
    <row r="21" spans="2:7" s="69" customFormat="1" ht="18.75" customHeight="1" x14ac:dyDescent="0.2">
      <c r="B21" s="75" t="s">
        <v>3</v>
      </c>
      <c r="C21" s="77" t="e">
        <f>解体等廃棄物発生量!D79</f>
        <v>#N/A</v>
      </c>
      <c r="D21" s="238" t="s">
        <v>1</v>
      </c>
      <c r="E21" s="234" t="e">
        <f>(C22+C21)*(1-D18)</f>
        <v>#N/A</v>
      </c>
      <c r="F21" s="233" t="e">
        <f>E21/C11/C14*(1+C15)</f>
        <v>#N/A</v>
      </c>
      <c r="G21" s="232" t="e">
        <f>F21/10000</f>
        <v>#N/A</v>
      </c>
    </row>
    <row r="22" spans="2:7" s="69" customFormat="1" ht="18.75" customHeight="1" x14ac:dyDescent="0.2">
      <c r="B22" s="75" t="s">
        <v>1</v>
      </c>
      <c r="C22" s="77" t="e">
        <f>解体等廃棄物発生量!D80</f>
        <v>#N/A</v>
      </c>
      <c r="D22" s="239"/>
      <c r="E22" s="234"/>
      <c r="F22" s="233"/>
      <c r="G22" s="232"/>
    </row>
    <row r="23" spans="2:7" s="69" customFormat="1" ht="18.75" customHeight="1" x14ac:dyDescent="0.2">
      <c r="B23" s="75" t="s">
        <v>2</v>
      </c>
      <c r="C23" s="77" t="e">
        <f>解体等廃棄物発生量!D81</f>
        <v>#N/A</v>
      </c>
      <c r="D23" s="235" t="s">
        <v>2</v>
      </c>
      <c r="E23" s="234" t="e">
        <f>SUM(C23:C26)*(1-D18)</f>
        <v>#N/A</v>
      </c>
      <c r="F23" s="233" t="e">
        <f>E23/C12/C14*(1+C15)</f>
        <v>#N/A</v>
      </c>
      <c r="G23" s="232" t="e">
        <f>F23/10000</f>
        <v>#N/A</v>
      </c>
    </row>
    <row r="24" spans="2:7" s="69" customFormat="1" ht="18.75" customHeight="1" x14ac:dyDescent="0.2">
      <c r="B24" s="75" t="s">
        <v>0</v>
      </c>
      <c r="C24" s="77" t="e">
        <f>解体等廃棄物発生量!D82</f>
        <v>#N/A</v>
      </c>
      <c r="D24" s="236"/>
      <c r="E24" s="234"/>
      <c r="F24" s="233"/>
      <c r="G24" s="232"/>
    </row>
    <row r="25" spans="2:7" s="69" customFormat="1" ht="18.75" customHeight="1" x14ac:dyDescent="0.2">
      <c r="B25" s="75" t="s">
        <v>101</v>
      </c>
      <c r="C25" s="77" t="e">
        <f>解体等廃棄物発生量!D83</f>
        <v>#N/A</v>
      </c>
      <c r="D25" s="236"/>
      <c r="E25" s="234" t="e">
        <f t="shared" ref="E25" si="0">(C26+C25)-(C26+C25)/C22</f>
        <v>#N/A</v>
      </c>
      <c r="F25" s="233"/>
      <c r="G25" s="232"/>
    </row>
    <row r="26" spans="2:7" s="69" customFormat="1" ht="18.75" customHeight="1" x14ac:dyDescent="0.2">
      <c r="B26" s="75" t="s">
        <v>99</v>
      </c>
      <c r="C26" s="77" t="e">
        <f>解体等廃棄物発生量!D84</f>
        <v>#N/A</v>
      </c>
      <c r="D26" s="237"/>
      <c r="E26" s="234"/>
      <c r="F26" s="233"/>
      <c r="G26" s="232"/>
    </row>
    <row r="27" spans="2:7" s="69" customFormat="1" ht="18.75" customHeight="1" x14ac:dyDescent="0.2">
      <c r="B27" s="75" t="str">
        <f>解体等廃棄物発生量!B85</f>
        <v>津波堆積物</v>
      </c>
      <c r="C27" s="77">
        <f>解体等廃棄物発生量!D85</f>
        <v>1243920</v>
      </c>
      <c r="D27" s="81" t="str">
        <f>B27</f>
        <v>津波堆積物</v>
      </c>
      <c r="E27" s="78">
        <f>C27*(1-D18)</f>
        <v>783208.88888888888</v>
      </c>
      <c r="F27" s="79">
        <f>E27/C13/C14*(1+C15)</f>
        <v>284803.23232323228</v>
      </c>
      <c r="G27" s="80">
        <f>F27/10000</f>
        <v>28.480323232323229</v>
      </c>
    </row>
    <row r="28" spans="2:7" s="69" customFormat="1" ht="18.75" customHeight="1" x14ac:dyDescent="0.2">
      <c r="B28" s="76" t="s">
        <v>6</v>
      </c>
      <c r="C28" s="77" t="e">
        <f>SUM(C21:C27)</f>
        <v>#N/A</v>
      </c>
      <c r="D28" s="76" t="s">
        <v>6</v>
      </c>
      <c r="E28" s="82" t="e">
        <f>SUM(E21:E27)</f>
        <v>#N/A</v>
      </c>
      <c r="F28" s="82" t="e">
        <f>SUM(F21:F27)</f>
        <v>#N/A</v>
      </c>
      <c r="G28" s="90" t="e">
        <f>SUM(G21:G27)</f>
        <v>#N/A</v>
      </c>
    </row>
    <row r="29" spans="2:7" ht="18.75" customHeight="1" x14ac:dyDescent="0.2">
      <c r="B29" s="5"/>
    </row>
    <row r="30" spans="2:7" s="5" customFormat="1" ht="18.75" customHeight="1" x14ac:dyDescent="0.2">
      <c r="B30" s="48" t="s">
        <v>322</v>
      </c>
      <c r="C30" s="58">
        <f>片付けごみ発生量!D28</f>
        <v>700</v>
      </c>
      <c r="F30" s="139">
        <f>C30/0.5/3*(1+C15)</f>
        <v>933.33333333333337</v>
      </c>
      <c r="G30" s="298">
        <f>F30/10000</f>
        <v>9.3333333333333338E-2</v>
      </c>
    </row>
    <row r="31" spans="2:7" ht="18.75" customHeight="1" x14ac:dyDescent="0.2">
      <c r="B31" s="5" t="s">
        <v>552</v>
      </c>
    </row>
  </sheetData>
  <mergeCells count="11">
    <mergeCell ref="B7:G7"/>
    <mergeCell ref="B8:G8"/>
    <mergeCell ref="B16:C16"/>
    <mergeCell ref="G21:G22"/>
    <mergeCell ref="E21:E22"/>
    <mergeCell ref="F21:F22"/>
    <mergeCell ref="G23:G26"/>
    <mergeCell ref="F23:F26"/>
    <mergeCell ref="E23:E26"/>
    <mergeCell ref="D23:D26"/>
    <mergeCell ref="D21:D22"/>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35"/>
  <sheetViews>
    <sheetView zoomScaleNormal="100" workbookViewId="0"/>
  </sheetViews>
  <sheetFormatPr defaultRowHeight="19.5" customHeight="1" x14ac:dyDescent="0.2"/>
  <cols>
    <col min="1" max="1" width="3.6640625" style="93" customWidth="1"/>
    <col min="2" max="2" width="17.44140625" style="93" customWidth="1"/>
    <col min="3" max="6" width="9.6640625" style="93" customWidth="1"/>
    <col min="7" max="7" width="31" style="93" customWidth="1"/>
    <col min="8" max="8" width="15.21875" style="93" customWidth="1"/>
    <col min="9" max="9" width="12.6640625" style="93" customWidth="1"/>
    <col min="10" max="18" width="10.88671875" style="93" customWidth="1"/>
    <col min="19" max="246" width="9" style="93"/>
    <col min="247" max="247" width="14.33203125" style="93" customWidth="1"/>
    <col min="248" max="248" width="17.44140625" style="93" customWidth="1"/>
    <col min="249" max="249" width="16" style="93" customWidth="1"/>
    <col min="250" max="250" width="14.88671875" style="93" customWidth="1"/>
    <col min="251" max="253" width="12" style="93" customWidth="1"/>
    <col min="254" max="254" width="9" style="93"/>
    <col min="255" max="255" width="14.109375" style="93" customWidth="1"/>
    <col min="256" max="256" width="12" style="93" customWidth="1"/>
    <col min="257" max="257" width="15.33203125" style="93" customWidth="1"/>
    <col min="258" max="502" width="9" style="93"/>
    <col min="503" max="503" width="14.33203125" style="93" customWidth="1"/>
    <col min="504" max="504" width="17.44140625" style="93" customWidth="1"/>
    <col min="505" max="505" width="16" style="93" customWidth="1"/>
    <col min="506" max="506" width="14.88671875" style="93" customWidth="1"/>
    <col min="507" max="509" width="12" style="93" customWidth="1"/>
    <col min="510" max="510" width="9" style="93"/>
    <col min="511" max="511" width="14.109375" style="93" customWidth="1"/>
    <col min="512" max="512" width="12" style="93" customWidth="1"/>
    <col min="513" max="513" width="15.33203125" style="93" customWidth="1"/>
    <col min="514" max="758" width="9" style="93"/>
    <col min="759" max="759" width="14.33203125" style="93" customWidth="1"/>
    <col min="760" max="760" width="17.44140625" style="93" customWidth="1"/>
    <col min="761" max="761" width="16" style="93" customWidth="1"/>
    <col min="762" max="762" width="14.88671875" style="93" customWidth="1"/>
    <col min="763" max="765" width="12" style="93" customWidth="1"/>
    <col min="766" max="766" width="9" style="93"/>
    <col min="767" max="767" width="14.109375" style="93" customWidth="1"/>
    <col min="768" max="768" width="12" style="93" customWidth="1"/>
    <col min="769" max="769" width="15.33203125" style="93" customWidth="1"/>
    <col min="770" max="1014" width="9" style="93"/>
    <col min="1015" max="1015" width="14.33203125" style="93" customWidth="1"/>
    <col min="1016" max="1016" width="17.44140625" style="93" customWidth="1"/>
    <col min="1017" max="1017" width="16" style="93" customWidth="1"/>
    <col min="1018" max="1018" width="14.88671875" style="93" customWidth="1"/>
    <col min="1019" max="1021" width="12" style="93" customWidth="1"/>
    <col min="1022" max="1022" width="9" style="93"/>
    <col min="1023" max="1023" width="14.109375" style="93" customWidth="1"/>
    <col min="1024" max="1024" width="12" style="93" customWidth="1"/>
    <col min="1025" max="1025" width="15.33203125" style="93" customWidth="1"/>
    <col min="1026" max="1270" width="9" style="93"/>
    <col min="1271" max="1271" width="14.33203125" style="93" customWidth="1"/>
    <col min="1272" max="1272" width="17.44140625" style="93" customWidth="1"/>
    <col min="1273" max="1273" width="16" style="93" customWidth="1"/>
    <col min="1274" max="1274" width="14.88671875" style="93" customWidth="1"/>
    <col min="1275" max="1277" width="12" style="93" customWidth="1"/>
    <col min="1278" max="1278" width="9" style="93"/>
    <col min="1279" max="1279" width="14.109375" style="93" customWidth="1"/>
    <col min="1280" max="1280" width="12" style="93" customWidth="1"/>
    <col min="1281" max="1281" width="15.33203125" style="93" customWidth="1"/>
    <col min="1282" max="1526" width="9" style="93"/>
    <col min="1527" max="1527" width="14.33203125" style="93" customWidth="1"/>
    <col min="1528" max="1528" width="17.44140625" style="93" customWidth="1"/>
    <col min="1529" max="1529" width="16" style="93" customWidth="1"/>
    <col min="1530" max="1530" width="14.88671875" style="93" customWidth="1"/>
    <col min="1531" max="1533" width="12" style="93" customWidth="1"/>
    <col min="1534" max="1534" width="9" style="93"/>
    <col min="1535" max="1535" width="14.109375" style="93" customWidth="1"/>
    <col min="1536" max="1536" width="12" style="93" customWidth="1"/>
    <col min="1537" max="1537" width="15.33203125" style="93" customWidth="1"/>
    <col min="1538" max="1782" width="9" style="93"/>
    <col min="1783" max="1783" width="14.33203125" style="93" customWidth="1"/>
    <col min="1784" max="1784" width="17.44140625" style="93" customWidth="1"/>
    <col min="1785" max="1785" width="16" style="93" customWidth="1"/>
    <col min="1786" max="1786" width="14.88671875" style="93" customWidth="1"/>
    <col min="1787" max="1789" width="12" style="93" customWidth="1"/>
    <col min="1790" max="1790" width="9" style="93"/>
    <col min="1791" max="1791" width="14.109375" style="93" customWidth="1"/>
    <col min="1792" max="1792" width="12" style="93" customWidth="1"/>
    <col min="1793" max="1793" width="15.33203125" style="93" customWidth="1"/>
    <col min="1794" max="2038" width="9" style="93"/>
    <col min="2039" max="2039" width="14.33203125" style="93" customWidth="1"/>
    <col min="2040" max="2040" width="17.44140625" style="93" customWidth="1"/>
    <col min="2041" max="2041" width="16" style="93" customWidth="1"/>
    <col min="2042" max="2042" width="14.88671875" style="93" customWidth="1"/>
    <col min="2043" max="2045" width="12" style="93" customWidth="1"/>
    <col min="2046" max="2046" width="9" style="93"/>
    <col min="2047" max="2047" width="14.109375" style="93" customWidth="1"/>
    <col min="2048" max="2048" width="12" style="93" customWidth="1"/>
    <col min="2049" max="2049" width="15.33203125" style="93" customWidth="1"/>
    <col min="2050" max="2294" width="9" style="93"/>
    <col min="2295" max="2295" width="14.33203125" style="93" customWidth="1"/>
    <col min="2296" max="2296" width="17.44140625" style="93" customWidth="1"/>
    <col min="2297" max="2297" width="16" style="93" customWidth="1"/>
    <col min="2298" max="2298" width="14.88671875" style="93" customWidth="1"/>
    <col min="2299" max="2301" width="12" style="93" customWidth="1"/>
    <col min="2302" max="2302" width="9" style="93"/>
    <col min="2303" max="2303" width="14.109375" style="93" customWidth="1"/>
    <col min="2304" max="2304" width="12" style="93" customWidth="1"/>
    <col min="2305" max="2305" width="15.33203125" style="93" customWidth="1"/>
    <col min="2306" max="2550" width="9" style="93"/>
    <col min="2551" max="2551" width="14.33203125" style="93" customWidth="1"/>
    <col min="2552" max="2552" width="17.44140625" style="93" customWidth="1"/>
    <col min="2553" max="2553" width="16" style="93" customWidth="1"/>
    <col min="2554" max="2554" width="14.88671875" style="93" customWidth="1"/>
    <col min="2555" max="2557" width="12" style="93" customWidth="1"/>
    <col min="2558" max="2558" width="9" style="93"/>
    <col min="2559" max="2559" width="14.109375" style="93" customWidth="1"/>
    <col min="2560" max="2560" width="12" style="93" customWidth="1"/>
    <col min="2561" max="2561" width="15.33203125" style="93" customWidth="1"/>
    <col min="2562" max="2806" width="9" style="93"/>
    <col min="2807" max="2807" width="14.33203125" style="93" customWidth="1"/>
    <col min="2808" max="2808" width="17.44140625" style="93" customWidth="1"/>
    <col min="2809" max="2809" width="16" style="93" customWidth="1"/>
    <col min="2810" max="2810" width="14.88671875" style="93" customWidth="1"/>
    <col min="2811" max="2813" width="12" style="93" customWidth="1"/>
    <col min="2814" max="2814" width="9" style="93"/>
    <col min="2815" max="2815" width="14.109375" style="93" customWidth="1"/>
    <col min="2816" max="2816" width="12" style="93" customWidth="1"/>
    <col min="2817" max="2817" width="15.33203125" style="93" customWidth="1"/>
    <col min="2818" max="3062" width="9" style="93"/>
    <col min="3063" max="3063" width="14.33203125" style="93" customWidth="1"/>
    <col min="3064" max="3064" width="17.44140625" style="93" customWidth="1"/>
    <col min="3065" max="3065" width="16" style="93" customWidth="1"/>
    <col min="3066" max="3066" width="14.88671875" style="93" customWidth="1"/>
    <col min="3067" max="3069" width="12" style="93" customWidth="1"/>
    <col min="3070" max="3070" width="9" style="93"/>
    <col min="3071" max="3071" width="14.109375" style="93" customWidth="1"/>
    <col min="3072" max="3072" width="12" style="93" customWidth="1"/>
    <col min="3073" max="3073" width="15.33203125" style="93" customWidth="1"/>
    <col min="3074" max="3318" width="9" style="93"/>
    <col min="3319" max="3319" width="14.33203125" style="93" customWidth="1"/>
    <col min="3320" max="3320" width="17.44140625" style="93" customWidth="1"/>
    <col min="3321" max="3321" width="16" style="93" customWidth="1"/>
    <col min="3322" max="3322" width="14.88671875" style="93" customWidth="1"/>
    <col min="3323" max="3325" width="12" style="93" customWidth="1"/>
    <col min="3326" max="3326" width="9" style="93"/>
    <col min="3327" max="3327" width="14.109375" style="93" customWidth="1"/>
    <col min="3328" max="3328" width="12" style="93" customWidth="1"/>
    <col min="3329" max="3329" width="15.33203125" style="93" customWidth="1"/>
    <col min="3330" max="3574" width="9" style="93"/>
    <col min="3575" max="3575" width="14.33203125" style="93" customWidth="1"/>
    <col min="3576" max="3576" width="17.44140625" style="93" customWidth="1"/>
    <col min="3577" max="3577" width="16" style="93" customWidth="1"/>
    <col min="3578" max="3578" width="14.88671875" style="93" customWidth="1"/>
    <col min="3579" max="3581" width="12" style="93" customWidth="1"/>
    <col min="3582" max="3582" width="9" style="93"/>
    <col min="3583" max="3583" width="14.109375" style="93" customWidth="1"/>
    <col min="3584" max="3584" width="12" style="93" customWidth="1"/>
    <col min="3585" max="3585" width="15.33203125" style="93" customWidth="1"/>
    <col min="3586" max="3830" width="9" style="93"/>
    <col min="3831" max="3831" width="14.33203125" style="93" customWidth="1"/>
    <col min="3832" max="3832" width="17.44140625" style="93" customWidth="1"/>
    <col min="3833" max="3833" width="16" style="93" customWidth="1"/>
    <col min="3834" max="3834" width="14.88671875" style="93" customWidth="1"/>
    <col min="3835" max="3837" width="12" style="93" customWidth="1"/>
    <col min="3838" max="3838" width="9" style="93"/>
    <col min="3839" max="3839" width="14.109375" style="93" customWidth="1"/>
    <col min="3840" max="3840" width="12" style="93" customWidth="1"/>
    <col min="3841" max="3841" width="15.33203125" style="93" customWidth="1"/>
    <col min="3842" max="4086" width="9" style="93"/>
    <col min="4087" max="4087" width="14.33203125" style="93" customWidth="1"/>
    <col min="4088" max="4088" width="17.44140625" style="93" customWidth="1"/>
    <col min="4089" max="4089" width="16" style="93" customWidth="1"/>
    <col min="4090" max="4090" width="14.88671875" style="93" customWidth="1"/>
    <col min="4091" max="4093" width="12" style="93" customWidth="1"/>
    <col min="4094" max="4094" width="9" style="93"/>
    <col min="4095" max="4095" width="14.109375" style="93" customWidth="1"/>
    <col min="4096" max="4096" width="12" style="93" customWidth="1"/>
    <col min="4097" max="4097" width="15.33203125" style="93" customWidth="1"/>
    <col min="4098" max="4342" width="9" style="93"/>
    <col min="4343" max="4343" width="14.33203125" style="93" customWidth="1"/>
    <col min="4344" max="4344" width="17.44140625" style="93" customWidth="1"/>
    <col min="4345" max="4345" width="16" style="93" customWidth="1"/>
    <col min="4346" max="4346" width="14.88671875" style="93" customWidth="1"/>
    <col min="4347" max="4349" width="12" style="93" customWidth="1"/>
    <col min="4350" max="4350" width="9" style="93"/>
    <col min="4351" max="4351" width="14.109375" style="93" customWidth="1"/>
    <col min="4352" max="4352" width="12" style="93" customWidth="1"/>
    <col min="4353" max="4353" width="15.33203125" style="93" customWidth="1"/>
    <col min="4354" max="4598" width="9" style="93"/>
    <col min="4599" max="4599" width="14.33203125" style="93" customWidth="1"/>
    <col min="4600" max="4600" width="17.44140625" style="93" customWidth="1"/>
    <col min="4601" max="4601" width="16" style="93" customWidth="1"/>
    <col min="4602" max="4602" width="14.88671875" style="93" customWidth="1"/>
    <col min="4603" max="4605" width="12" style="93" customWidth="1"/>
    <col min="4606" max="4606" width="9" style="93"/>
    <col min="4607" max="4607" width="14.109375" style="93" customWidth="1"/>
    <col min="4608" max="4608" width="12" style="93" customWidth="1"/>
    <col min="4609" max="4609" width="15.33203125" style="93" customWidth="1"/>
    <col min="4610" max="4854" width="9" style="93"/>
    <col min="4855" max="4855" width="14.33203125" style="93" customWidth="1"/>
    <col min="4856" max="4856" width="17.44140625" style="93" customWidth="1"/>
    <col min="4857" max="4857" width="16" style="93" customWidth="1"/>
    <col min="4858" max="4858" width="14.88671875" style="93" customWidth="1"/>
    <col min="4859" max="4861" width="12" style="93" customWidth="1"/>
    <col min="4862" max="4862" width="9" style="93"/>
    <col min="4863" max="4863" width="14.109375" style="93" customWidth="1"/>
    <col min="4864" max="4864" width="12" style="93" customWidth="1"/>
    <col min="4865" max="4865" width="15.33203125" style="93" customWidth="1"/>
    <col min="4866" max="5110" width="9" style="93"/>
    <col min="5111" max="5111" width="14.33203125" style="93" customWidth="1"/>
    <col min="5112" max="5112" width="17.44140625" style="93" customWidth="1"/>
    <col min="5113" max="5113" width="16" style="93" customWidth="1"/>
    <col min="5114" max="5114" width="14.88671875" style="93" customWidth="1"/>
    <col min="5115" max="5117" width="12" style="93" customWidth="1"/>
    <col min="5118" max="5118" width="9" style="93"/>
    <col min="5119" max="5119" width="14.109375" style="93" customWidth="1"/>
    <col min="5120" max="5120" width="12" style="93" customWidth="1"/>
    <col min="5121" max="5121" width="15.33203125" style="93" customWidth="1"/>
    <col min="5122" max="5366" width="9" style="93"/>
    <col min="5367" max="5367" width="14.33203125" style="93" customWidth="1"/>
    <col min="5368" max="5368" width="17.44140625" style="93" customWidth="1"/>
    <col min="5369" max="5369" width="16" style="93" customWidth="1"/>
    <col min="5370" max="5370" width="14.88671875" style="93" customWidth="1"/>
    <col min="5371" max="5373" width="12" style="93" customWidth="1"/>
    <col min="5374" max="5374" width="9" style="93"/>
    <col min="5375" max="5375" width="14.109375" style="93" customWidth="1"/>
    <col min="5376" max="5376" width="12" style="93" customWidth="1"/>
    <col min="5377" max="5377" width="15.33203125" style="93" customWidth="1"/>
    <col min="5378" max="5622" width="9" style="93"/>
    <col min="5623" max="5623" width="14.33203125" style="93" customWidth="1"/>
    <col min="5624" max="5624" width="17.44140625" style="93" customWidth="1"/>
    <col min="5625" max="5625" width="16" style="93" customWidth="1"/>
    <col min="5626" max="5626" width="14.88671875" style="93" customWidth="1"/>
    <col min="5627" max="5629" width="12" style="93" customWidth="1"/>
    <col min="5630" max="5630" width="9" style="93"/>
    <col min="5631" max="5631" width="14.109375" style="93" customWidth="1"/>
    <col min="5632" max="5632" width="12" style="93" customWidth="1"/>
    <col min="5633" max="5633" width="15.33203125" style="93" customWidth="1"/>
    <col min="5634" max="5878" width="9" style="93"/>
    <col min="5879" max="5879" width="14.33203125" style="93" customWidth="1"/>
    <col min="5880" max="5880" width="17.44140625" style="93" customWidth="1"/>
    <col min="5881" max="5881" width="16" style="93" customWidth="1"/>
    <col min="5882" max="5882" width="14.88671875" style="93" customWidth="1"/>
    <col min="5883" max="5885" width="12" style="93" customWidth="1"/>
    <col min="5886" max="5886" width="9" style="93"/>
    <col min="5887" max="5887" width="14.109375" style="93" customWidth="1"/>
    <col min="5888" max="5888" width="12" style="93" customWidth="1"/>
    <col min="5889" max="5889" width="15.33203125" style="93" customWidth="1"/>
    <col min="5890" max="6134" width="9" style="93"/>
    <col min="6135" max="6135" width="14.33203125" style="93" customWidth="1"/>
    <col min="6136" max="6136" width="17.44140625" style="93" customWidth="1"/>
    <col min="6137" max="6137" width="16" style="93" customWidth="1"/>
    <col min="6138" max="6138" width="14.88671875" style="93" customWidth="1"/>
    <col min="6139" max="6141" width="12" style="93" customWidth="1"/>
    <col min="6142" max="6142" width="9" style="93"/>
    <col min="6143" max="6143" width="14.109375" style="93" customWidth="1"/>
    <col min="6144" max="6144" width="12" style="93" customWidth="1"/>
    <col min="6145" max="6145" width="15.33203125" style="93" customWidth="1"/>
    <col min="6146" max="6390" width="9" style="93"/>
    <col min="6391" max="6391" width="14.33203125" style="93" customWidth="1"/>
    <col min="6392" max="6392" width="17.44140625" style="93" customWidth="1"/>
    <col min="6393" max="6393" width="16" style="93" customWidth="1"/>
    <col min="6394" max="6394" width="14.88671875" style="93" customWidth="1"/>
    <col min="6395" max="6397" width="12" style="93" customWidth="1"/>
    <col min="6398" max="6398" width="9" style="93"/>
    <col min="6399" max="6399" width="14.109375" style="93" customWidth="1"/>
    <col min="6400" max="6400" width="12" style="93" customWidth="1"/>
    <col min="6401" max="6401" width="15.33203125" style="93" customWidth="1"/>
    <col min="6402" max="6646" width="9" style="93"/>
    <col min="6647" max="6647" width="14.33203125" style="93" customWidth="1"/>
    <col min="6648" max="6648" width="17.44140625" style="93" customWidth="1"/>
    <col min="6649" max="6649" width="16" style="93" customWidth="1"/>
    <col min="6650" max="6650" width="14.88671875" style="93" customWidth="1"/>
    <col min="6651" max="6653" width="12" style="93" customWidth="1"/>
    <col min="6654" max="6654" width="9" style="93"/>
    <col min="6655" max="6655" width="14.109375" style="93" customWidth="1"/>
    <col min="6656" max="6656" width="12" style="93" customWidth="1"/>
    <col min="6657" max="6657" width="15.33203125" style="93" customWidth="1"/>
    <col min="6658" max="6902" width="9" style="93"/>
    <col min="6903" max="6903" width="14.33203125" style="93" customWidth="1"/>
    <col min="6904" max="6904" width="17.44140625" style="93" customWidth="1"/>
    <col min="6905" max="6905" width="16" style="93" customWidth="1"/>
    <col min="6906" max="6906" width="14.88671875" style="93" customWidth="1"/>
    <col min="6907" max="6909" width="12" style="93" customWidth="1"/>
    <col min="6910" max="6910" width="9" style="93"/>
    <col min="6911" max="6911" width="14.109375" style="93" customWidth="1"/>
    <col min="6912" max="6912" width="12" style="93" customWidth="1"/>
    <col min="6913" max="6913" width="15.33203125" style="93" customWidth="1"/>
    <col min="6914" max="7158" width="9" style="93"/>
    <col min="7159" max="7159" width="14.33203125" style="93" customWidth="1"/>
    <col min="7160" max="7160" width="17.44140625" style="93" customWidth="1"/>
    <col min="7161" max="7161" width="16" style="93" customWidth="1"/>
    <col min="7162" max="7162" width="14.88671875" style="93" customWidth="1"/>
    <col min="7163" max="7165" width="12" style="93" customWidth="1"/>
    <col min="7166" max="7166" width="9" style="93"/>
    <col min="7167" max="7167" width="14.109375" style="93" customWidth="1"/>
    <col min="7168" max="7168" width="12" style="93" customWidth="1"/>
    <col min="7169" max="7169" width="15.33203125" style="93" customWidth="1"/>
    <col min="7170" max="7414" width="9" style="93"/>
    <col min="7415" max="7415" width="14.33203125" style="93" customWidth="1"/>
    <col min="7416" max="7416" width="17.44140625" style="93" customWidth="1"/>
    <col min="7417" max="7417" width="16" style="93" customWidth="1"/>
    <col min="7418" max="7418" width="14.88671875" style="93" customWidth="1"/>
    <col min="7419" max="7421" width="12" style="93" customWidth="1"/>
    <col min="7422" max="7422" width="9" style="93"/>
    <col min="7423" max="7423" width="14.109375" style="93" customWidth="1"/>
    <col min="7424" max="7424" width="12" style="93" customWidth="1"/>
    <col min="7425" max="7425" width="15.33203125" style="93" customWidth="1"/>
    <col min="7426" max="7670" width="9" style="93"/>
    <col min="7671" max="7671" width="14.33203125" style="93" customWidth="1"/>
    <col min="7672" max="7672" width="17.44140625" style="93" customWidth="1"/>
    <col min="7673" max="7673" width="16" style="93" customWidth="1"/>
    <col min="7674" max="7674" width="14.88671875" style="93" customWidth="1"/>
    <col min="7675" max="7677" width="12" style="93" customWidth="1"/>
    <col min="7678" max="7678" width="9" style="93"/>
    <col min="7679" max="7679" width="14.109375" style="93" customWidth="1"/>
    <col min="7680" max="7680" width="12" style="93" customWidth="1"/>
    <col min="7681" max="7681" width="15.33203125" style="93" customWidth="1"/>
    <col min="7682" max="7926" width="9" style="93"/>
    <col min="7927" max="7927" width="14.33203125" style="93" customWidth="1"/>
    <col min="7928" max="7928" width="17.44140625" style="93" customWidth="1"/>
    <col min="7929" max="7929" width="16" style="93" customWidth="1"/>
    <col min="7930" max="7930" width="14.88671875" style="93" customWidth="1"/>
    <col min="7931" max="7933" width="12" style="93" customWidth="1"/>
    <col min="7934" max="7934" width="9" style="93"/>
    <col min="7935" max="7935" width="14.109375" style="93" customWidth="1"/>
    <col min="7936" max="7936" width="12" style="93" customWidth="1"/>
    <col min="7937" max="7937" width="15.33203125" style="93" customWidth="1"/>
    <col min="7938" max="8182" width="9" style="93"/>
    <col min="8183" max="8183" width="14.33203125" style="93" customWidth="1"/>
    <col min="8184" max="8184" width="17.44140625" style="93" customWidth="1"/>
    <col min="8185" max="8185" width="16" style="93" customWidth="1"/>
    <col min="8186" max="8186" width="14.88671875" style="93" customWidth="1"/>
    <col min="8187" max="8189" width="12" style="93" customWidth="1"/>
    <col min="8190" max="8190" width="9" style="93"/>
    <col min="8191" max="8191" width="14.109375" style="93" customWidth="1"/>
    <col min="8192" max="8192" width="12" style="93" customWidth="1"/>
    <col min="8193" max="8193" width="15.33203125" style="93" customWidth="1"/>
    <col min="8194" max="8438" width="9" style="93"/>
    <col min="8439" max="8439" width="14.33203125" style="93" customWidth="1"/>
    <col min="8440" max="8440" width="17.44140625" style="93" customWidth="1"/>
    <col min="8441" max="8441" width="16" style="93" customWidth="1"/>
    <col min="8442" max="8442" width="14.88671875" style="93" customWidth="1"/>
    <col min="8443" max="8445" width="12" style="93" customWidth="1"/>
    <col min="8446" max="8446" width="9" style="93"/>
    <col min="8447" max="8447" width="14.109375" style="93" customWidth="1"/>
    <col min="8448" max="8448" width="12" style="93" customWidth="1"/>
    <col min="8449" max="8449" width="15.33203125" style="93" customWidth="1"/>
    <col min="8450" max="8694" width="9" style="93"/>
    <col min="8695" max="8695" width="14.33203125" style="93" customWidth="1"/>
    <col min="8696" max="8696" width="17.44140625" style="93" customWidth="1"/>
    <col min="8697" max="8697" width="16" style="93" customWidth="1"/>
    <col min="8698" max="8698" width="14.88671875" style="93" customWidth="1"/>
    <col min="8699" max="8701" width="12" style="93" customWidth="1"/>
    <col min="8702" max="8702" width="9" style="93"/>
    <col min="8703" max="8703" width="14.109375" style="93" customWidth="1"/>
    <col min="8704" max="8704" width="12" style="93" customWidth="1"/>
    <col min="8705" max="8705" width="15.33203125" style="93" customWidth="1"/>
    <col min="8706" max="8950" width="9" style="93"/>
    <col min="8951" max="8951" width="14.33203125" style="93" customWidth="1"/>
    <col min="8952" max="8952" width="17.44140625" style="93" customWidth="1"/>
    <col min="8953" max="8953" width="16" style="93" customWidth="1"/>
    <col min="8954" max="8954" width="14.88671875" style="93" customWidth="1"/>
    <col min="8955" max="8957" width="12" style="93" customWidth="1"/>
    <col min="8958" max="8958" width="9" style="93"/>
    <col min="8959" max="8959" width="14.109375" style="93" customWidth="1"/>
    <col min="8960" max="8960" width="12" style="93" customWidth="1"/>
    <col min="8961" max="8961" width="15.33203125" style="93" customWidth="1"/>
    <col min="8962" max="9206" width="9" style="93"/>
    <col min="9207" max="9207" width="14.33203125" style="93" customWidth="1"/>
    <col min="9208" max="9208" width="17.44140625" style="93" customWidth="1"/>
    <col min="9209" max="9209" width="16" style="93" customWidth="1"/>
    <col min="9210" max="9210" width="14.88671875" style="93" customWidth="1"/>
    <col min="9211" max="9213" width="12" style="93" customWidth="1"/>
    <col min="9214" max="9214" width="9" style="93"/>
    <col min="9215" max="9215" width="14.109375" style="93" customWidth="1"/>
    <col min="9216" max="9216" width="12" style="93" customWidth="1"/>
    <col min="9217" max="9217" width="15.33203125" style="93" customWidth="1"/>
    <col min="9218" max="9462" width="9" style="93"/>
    <col min="9463" max="9463" width="14.33203125" style="93" customWidth="1"/>
    <col min="9464" max="9464" width="17.44140625" style="93" customWidth="1"/>
    <col min="9465" max="9465" width="16" style="93" customWidth="1"/>
    <col min="9466" max="9466" width="14.88671875" style="93" customWidth="1"/>
    <col min="9467" max="9469" width="12" style="93" customWidth="1"/>
    <col min="9470" max="9470" width="9" style="93"/>
    <col min="9471" max="9471" width="14.109375" style="93" customWidth="1"/>
    <col min="9472" max="9472" width="12" style="93" customWidth="1"/>
    <col min="9473" max="9473" width="15.33203125" style="93" customWidth="1"/>
    <col min="9474" max="9718" width="9" style="93"/>
    <col min="9719" max="9719" width="14.33203125" style="93" customWidth="1"/>
    <col min="9720" max="9720" width="17.44140625" style="93" customWidth="1"/>
    <col min="9721" max="9721" width="16" style="93" customWidth="1"/>
    <col min="9722" max="9722" width="14.88671875" style="93" customWidth="1"/>
    <col min="9723" max="9725" width="12" style="93" customWidth="1"/>
    <col min="9726" max="9726" width="9" style="93"/>
    <col min="9727" max="9727" width="14.109375" style="93" customWidth="1"/>
    <col min="9728" max="9728" width="12" style="93" customWidth="1"/>
    <col min="9729" max="9729" width="15.33203125" style="93" customWidth="1"/>
    <col min="9730" max="9974" width="9" style="93"/>
    <col min="9975" max="9975" width="14.33203125" style="93" customWidth="1"/>
    <col min="9976" max="9976" width="17.44140625" style="93" customWidth="1"/>
    <col min="9977" max="9977" width="16" style="93" customWidth="1"/>
    <col min="9978" max="9978" width="14.88671875" style="93" customWidth="1"/>
    <col min="9979" max="9981" width="12" style="93" customWidth="1"/>
    <col min="9982" max="9982" width="9" style="93"/>
    <col min="9983" max="9983" width="14.109375" style="93" customWidth="1"/>
    <col min="9984" max="9984" width="12" style="93" customWidth="1"/>
    <col min="9985" max="9985" width="15.33203125" style="93" customWidth="1"/>
    <col min="9986" max="10230" width="9" style="93"/>
    <col min="10231" max="10231" width="14.33203125" style="93" customWidth="1"/>
    <col min="10232" max="10232" width="17.44140625" style="93" customWidth="1"/>
    <col min="10233" max="10233" width="16" style="93" customWidth="1"/>
    <col min="10234" max="10234" width="14.88671875" style="93" customWidth="1"/>
    <col min="10235" max="10237" width="12" style="93" customWidth="1"/>
    <col min="10238" max="10238" width="9" style="93"/>
    <col min="10239" max="10239" width="14.109375" style="93" customWidth="1"/>
    <col min="10240" max="10240" width="12" style="93" customWidth="1"/>
    <col min="10241" max="10241" width="15.33203125" style="93" customWidth="1"/>
    <col min="10242" max="10486" width="9" style="93"/>
    <col min="10487" max="10487" width="14.33203125" style="93" customWidth="1"/>
    <col min="10488" max="10488" width="17.44140625" style="93" customWidth="1"/>
    <col min="10489" max="10489" width="16" style="93" customWidth="1"/>
    <col min="10490" max="10490" width="14.88671875" style="93" customWidth="1"/>
    <col min="10491" max="10493" width="12" style="93" customWidth="1"/>
    <col min="10494" max="10494" width="9" style="93"/>
    <col min="10495" max="10495" width="14.109375" style="93" customWidth="1"/>
    <col min="10496" max="10496" width="12" style="93" customWidth="1"/>
    <col min="10497" max="10497" width="15.33203125" style="93" customWidth="1"/>
    <col min="10498" max="10742" width="9" style="93"/>
    <col min="10743" max="10743" width="14.33203125" style="93" customWidth="1"/>
    <col min="10744" max="10744" width="17.44140625" style="93" customWidth="1"/>
    <col min="10745" max="10745" width="16" style="93" customWidth="1"/>
    <col min="10746" max="10746" width="14.88671875" style="93" customWidth="1"/>
    <col min="10747" max="10749" width="12" style="93" customWidth="1"/>
    <col min="10750" max="10750" width="9" style="93"/>
    <col min="10751" max="10751" width="14.109375" style="93" customWidth="1"/>
    <col min="10752" max="10752" width="12" style="93" customWidth="1"/>
    <col min="10753" max="10753" width="15.33203125" style="93" customWidth="1"/>
    <col min="10754" max="10998" width="9" style="93"/>
    <col min="10999" max="10999" width="14.33203125" style="93" customWidth="1"/>
    <col min="11000" max="11000" width="17.44140625" style="93" customWidth="1"/>
    <col min="11001" max="11001" width="16" style="93" customWidth="1"/>
    <col min="11002" max="11002" width="14.88671875" style="93" customWidth="1"/>
    <col min="11003" max="11005" width="12" style="93" customWidth="1"/>
    <col min="11006" max="11006" width="9" style="93"/>
    <col min="11007" max="11007" width="14.109375" style="93" customWidth="1"/>
    <col min="11008" max="11008" width="12" style="93" customWidth="1"/>
    <col min="11009" max="11009" width="15.33203125" style="93" customWidth="1"/>
    <col min="11010" max="11254" width="9" style="93"/>
    <col min="11255" max="11255" width="14.33203125" style="93" customWidth="1"/>
    <col min="11256" max="11256" width="17.44140625" style="93" customWidth="1"/>
    <col min="11257" max="11257" width="16" style="93" customWidth="1"/>
    <col min="11258" max="11258" width="14.88671875" style="93" customWidth="1"/>
    <col min="11259" max="11261" width="12" style="93" customWidth="1"/>
    <col min="11262" max="11262" width="9" style="93"/>
    <col min="11263" max="11263" width="14.109375" style="93" customWidth="1"/>
    <col min="11264" max="11264" width="12" style="93" customWidth="1"/>
    <col min="11265" max="11265" width="15.33203125" style="93" customWidth="1"/>
    <col min="11266" max="11510" width="9" style="93"/>
    <col min="11511" max="11511" width="14.33203125" style="93" customWidth="1"/>
    <col min="11512" max="11512" width="17.44140625" style="93" customWidth="1"/>
    <col min="11513" max="11513" width="16" style="93" customWidth="1"/>
    <col min="11514" max="11514" width="14.88671875" style="93" customWidth="1"/>
    <col min="11515" max="11517" width="12" style="93" customWidth="1"/>
    <col min="11518" max="11518" width="9" style="93"/>
    <col min="11519" max="11519" width="14.109375" style="93" customWidth="1"/>
    <col min="11520" max="11520" width="12" style="93" customWidth="1"/>
    <col min="11521" max="11521" width="15.33203125" style="93" customWidth="1"/>
    <col min="11522" max="11766" width="9" style="93"/>
    <col min="11767" max="11767" width="14.33203125" style="93" customWidth="1"/>
    <col min="11768" max="11768" width="17.44140625" style="93" customWidth="1"/>
    <col min="11769" max="11769" width="16" style="93" customWidth="1"/>
    <col min="11770" max="11770" width="14.88671875" style="93" customWidth="1"/>
    <col min="11771" max="11773" width="12" style="93" customWidth="1"/>
    <col min="11774" max="11774" width="9" style="93"/>
    <col min="11775" max="11775" width="14.109375" style="93" customWidth="1"/>
    <col min="11776" max="11776" width="12" style="93" customWidth="1"/>
    <col min="11777" max="11777" width="15.33203125" style="93" customWidth="1"/>
    <col min="11778" max="12022" width="9" style="93"/>
    <col min="12023" max="12023" width="14.33203125" style="93" customWidth="1"/>
    <col min="12024" max="12024" width="17.44140625" style="93" customWidth="1"/>
    <col min="12025" max="12025" width="16" style="93" customWidth="1"/>
    <col min="12026" max="12026" width="14.88671875" style="93" customWidth="1"/>
    <col min="12027" max="12029" width="12" style="93" customWidth="1"/>
    <col min="12030" max="12030" width="9" style="93"/>
    <col min="12031" max="12031" width="14.109375" style="93" customWidth="1"/>
    <col min="12032" max="12032" width="12" style="93" customWidth="1"/>
    <col min="12033" max="12033" width="15.33203125" style="93" customWidth="1"/>
    <col min="12034" max="12278" width="9" style="93"/>
    <col min="12279" max="12279" width="14.33203125" style="93" customWidth="1"/>
    <col min="12280" max="12280" width="17.44140625" style="93" customWidth="1"/>
    <col min="12281" max="12281" width="16" style="93" customWidth="1"/>
    <col min="12282" max="12282" width="14.88671875" style="93" customWidth="1"/>
    <col min="12283" max="12285" width="12" style="93" customWidth="1"/>
    <col min="12286" max="12286" width="9" style="93"/>
    <col min="12287" max="12287" width="14.109375" style="93" customWidth="1"/>
    <col min="12288" max="12288" width="12" style="93" customWidth="1"/>
    <col min="12289" max="12289" width="15.33203125" style="93" customWidth="1"/>
    <col min="12290" max="12534" width="9" style="93"/>
    <col min="12535" max="12535" width="14.33203125" style="93" customWidth="1"/>
    <col min="12536" max="12536" width="17.44140625" style="93" customWidth="1"/>
    <col min="12537" max="12537" width="16" style="93" customWidth="1"/>
    <col min="12538" max="12538" width="14.88671875" style="93" customWidth="1"/>
    <col min="12539" max="12541" width="12" style="93" customWidth="1"/>
    <col min="12542" max="12542" width="9" style="93"/>
    <col min="12543" max="12543" width="14.109375" style="93" customWidth="1"/>
    <col min="12544" max="12544" width="12" style="93" customWidth="1"/>
    <col min="12545" max="12545" width="15.33203125" style="93" customWidth="1"/>
    <col min="12546" max="12790" width="9" style="93"/>
    <col min="12791" max="12791" width="14.33203125" style="93" customWidth="1"/>
    <col min="12792" max="12792" width="17.44140625" style="93" customWidth="1"/>
    <col min="12793" max="12793" width="16" style="93" customWidth="1"/>
    <col min="12794" max="12794" width="14.88671875" style="93" customWidth="1"/>
    <col min="12795" max="12797" width="12" style="93" customWidth="1"/>
    <col min="12798" max="12798" width="9" style="93"/>
    <col min="12799" max="12799" width="14.109375" style="93" customWidth="1"/>
    <col min="12800" max="12800" width="12" style="93" customWidth="1"/>
    <col min="12801" max="12801" width="15.33203125" style="93" customWidth="1"/>
    <col min="12802" max="13046" width="9" style="93"/>
    <col min="13047" max="13047" width="14.33203125" style="93" customWidth="1"/>
    <col min="13048" max="13048" width="17.44140625" style="93" customWidth="1"/>
    <col min="13049" max="13049" width="16" style="93" customWidth="1"/>
    <col min="13050" max="13050" width="14.88671875" style="93" customWidth="1"/>
    <col min="13051" max="13053" width="12" style="93" customWidth="1"/>
    <col min="13054" max="13054" width="9" style="93"/>
    <col min="13055" max="13055" width="14.109375" style="93" customWidth="1"/>
    <col min="13056" max="13056" width="12" style="93" customWidth="1"/>
    <col min="13057" max="13057" width="15.33203125" style="93" customWidth="1"/>
    <col min="13058" max="13302" width="9" style="93"/>
    <col min="13303" max="13303" width="14.33203125" style="93" customWidth="1"/>
    <col min="13304" max="13304" width="17.44140625" style="93" customWidth="1"/>
    <col min="13305" max="13305" width="16" style="93" customWidth="1"/>
    <col min="13306" max="13306" width="14.88671875" style="93" customWidth="1"/>
    <col min="13307" max="13309" width="12" style="93" customWidth="1"/>
    <col min="13310" max="13310" width="9" style="93"/>
    <col min="13311" max="13311" width="14.109375" style="93" customWidth="1"/>
    <col min="13312" max="13312" width="12" style="93" customWidth="1"/>
    <col min="13313" max="13313" width="15.33203125" style="93" customWidth="1"/>
    <col min="13314" max="13558" width="9" style="93"/>
    <col min="13559" max="13559" width="14.33203125" style="93" customWidth="1"/>
    <col min="13560" max="13560" width="17.44140625" style="93" customWidth="1"/>
    <col min="13561" max="13561" width="16" style="93" customWidth="1"/>
    <col min="13562" max="13562" width="14.88671875" style="93" customWidth="1"/>
    <col min="13563" max="13565" width="12" style="93" customWidth="1"/>
    <col min="13566" max="13566" width="9" style="93"/>
    <col min="13567" max="13567" width="14.109375" style="93" customWidth="1"/>
    <col min="13568" max="13568" width="12" style="93" customWidth="1"/>
    <col min="13569" max="13569" width="15.33203125" style="93" customWidth="1"/>
    <col min="13570" max="13814" width="9" style="93"/>
    <col min="13815" max="13815" width="14.33203125" style="93" customWidth="1"/>
    <col min="13816" max="13816" width="17.44140625" style="93" customWidth="1"/>
    <col min="13817" max="13817" width="16" style="93" customWidth="1"/>
    <col min="13818" max="13818" width="14.88671875" style="93" customWidth="1"/>
    <col min="13819" max="13821" width="12" style="93" customWidth="1"/>
    <col min="13822" max="13822" width="9" style="93"/>
    <col min="13823" max="13823" width="14.109375" style="93" customWidth="1"/>
    <col min="13824" max="13824" width="12" style="93" customWidth="1"/>
    <col min="13825" max="13825" width="15.33203125" style="93" customWidth="1"/>
    <col min="13826" max="14070" width="9" style="93"/>
    <col min="14071" max="14071" width="14.33203125" style="93" customWidth="1"/>
    <col min="14072" max="14072" width="17.44140625" style="93" customWidth="1"/>
    <col min="14073" max="14073" width="16" style="93" customWidth="1"/>
    <col min="14074" max="14074" width="14.88671875" style="93" customWidth="1"/>
    <col min="14075" max="14077" width="12" style="93" customWidth="1"/>
    <col min="14078" max="14078" width="9" style="93"/>
    <col min="14079" max="14079" width="14.109375" style="93" customWidth="1"/>
    <col min="14080" max="14080" width="12" style="93" customWidth="1"/>
    <col min="14081" max="14081" width="15.33203125" style="93" customWidth="1"/>
    <col min="14082" max="14326" width="9" style="93"/>
    <col min="14327" max="14327" width="14.33203125" style="93" customWidth="1"/>
    <col min="14328" max="14328" width="17.44140625" style="93" customWidth="1"/>
    <col min="14329" max="14329" width="16" style="93" customWidth="1"/>
    <col min="14330" max="14330" width="14.88671875" style="93" customWidth="1"/>
    <col min="14331" max="14333" width="12" style="93" customWidth="1"/>
    <col min="14334" max="14334" width="9" style="93"/>
    <col min="14335" max="14335" width="14.109375" style="93" customWidth="1"/>
    <col min="14336" max="14336" width="12" style="93" customWidth="1"/>
    <col min="14337" max="14337" width="15.33203125" style="93" customWidth="1"/>
    <col min="14338" max="14582" width="9" style="93"/>
    <col min="14583" max="14583" width="14.33203125" style="93" customWidth="1"/>
    <col min="14584" max="14584" width="17.44140625" style="93" customWidth="1"/>
    <col min="14585" max="14585" width="16" style="93" customWidth="1"/>
    <col min="14586" max="14586" width="14.88671875" style="93" customWidth="1"/>
    <col min="14587" max="14589" width="12" style="93" customWidth="1"/>
    <col min="14590" max="14590" width="9" style="93"/>
    <col min="14591" max="14591" width="14.109375" style="93" customWidth="1"/>
    <col min="14592" max="14592" width="12" style="93" customWidth="1"/>
    <col min="14593" max="14593" width="15.33203125" style="93" customWidth="1"/>
    <col min="14594" max="14838" width="9" style="93"/>
    <col min="14839" max="14839" width="14.33203125" style="93" customWidth="1"/>
    <col min="14840" max="14840" width="17.44140625" style="93" customWidth="1"/>
    <col min="14841" max="14841" width="16" style="93" customWidth="1"/>
    <col min="14842" max="14842" width="14.88671875" style="93" customWidth="1"/>
    <col min="14843" max="14845" width="12" style="93" customWidth="1"/>
    <col min="14846" max="14846" width="9" style="93"/>
    <col min="14847" max="14847" width="14.109375" style="93" customWidth="1"/>
    <col min="14848" max="14848" width="12" style="93" customWidth="1"/>
    <col min="14849" max="14849" width="15.33203125" style="93" customWidth="1"/>
    <col min="14850" max="15094" width="9" style="93"/>
    <col min="15095" max="15095" width="14.33203125" style="93" customWidth="1"/>
    <col min="15096" max="15096" width="17.44140625" style="93" customWidth="1"/>
    <col min="15097" max="15097" width="16" style="93" customWidth="1"/>
    <col min="15098" max="15098" width="14.88671875" style="93" customWidth="1"/>
    <col min="15099" max="15101" width="12" style="93" customWidth="1"/>
    <col min="15102" max="15102" width="9" style="93"/>
    <col min="15103" max="15103" width="14.109375" style="93" customWidth="1"/>
    <col min="15104" max="15104" width="12" style="93" customWidth="1"/>
    <col min="15105" max="15105" width="15.33203125" style="93" customWidth="1"/>
    <col min="15106" max="15350" width="9" style="93"/>
    <col min="15351" max="15351" width="14.33203125" style="93" customWidth="1"/>
    <col min="15352" max="15352" width="17.44140625" style="93" customWidth="1"/>
    <col min="15353" max="15353" width="16" style="93" customWidth="1"/>
    <col min="15354" max="15354" width="14.88671875" style="93" customWidth="1"/>
    <col min="15355" max="15357" width="12" style="93" customWidth="1"/>
    <col min="15358" max="15358" width="9" style="93"/>
    <col min="15359" max="15359" width="14.109375" style="93" customWidth="1"/>
    <col min="15360" max="15360" width="12" style="93" customWidth="1"/>
    <col min="15361" max="15361" width="15.33203125" style="93" customWidth="1"/>
    <col min="15362" max="15606" width="9" style="93"/>
    <col min="15607" max="15607" width="14.33203125" style="93" customWidth="1"/>
    <col min="15608" max="15608" width="17.44140625" style="93" customWidth="1"/>
    <col min="15609" max="15609" width="16" style="93" customWidth="1"/>
    <col min="15610" max="15610" width="14.88671875" style="93" customWidth="1"/>
    <col min="15611" max="15613" width="12" style="93" customWidth="1"/>
    <col min="15614" max="15614" width="9" style="93"/>
    <col min="15615" max="15615" width="14.109375" style="93" customWidth="1"/>
    <col min="15616" max="15616" width="12" style="93" customWidth="1"/>
    <col min="15617" max="15617" width="15.33203125" style="93" customWidth="1"/>
    <col min="15618" max="15862" width="9" style="93"/>
    <col min="15863" max="15863" width="14.33203125" style="93" customWidth="1"/>
    <col min="15864" max="15864" width="17.44140625" style="93" customWidth="1"/>
    <col min="15865" max="15865" width="16" style="93" customWidth="1"/>
    <col min="15866" max="15866" width="14.88671875" style="93" customWidth="1"/>
    <col min="15867" max="15869" width="12" style="93" customWidth="1"/>
    <col min="15870" max="15870" width="9" style="93"/>
    <col min="15871" max="15871" width="14.109375" style="93" customWidth="1"/>
    <col min="15872" max="15872" width="12" style="93" customWidth="1"/>
    <col min="15873" max="15873" width="15.33203125" style="93" customWidth="1"/>
    <col min="15874" max="16118" width="9" style="93"/>
    <col min="16119" max="16119" width="14.33203125" style="93" customWidth="1"/>
    <col min="16120" max="16120" width="17.44140625" style="93" customWidth="1"/>
    <col min="16121" max="16121" width="16" style="93" customWidth="1"/>
    <col min="16122" max="16122" width="14.88671875" style="93" customWidth="1"/>
    <col min="16123" max="16125" width="12" style="93" customWidth="1"/>
    <col min="16126" max="16126" width="9" style="93"/>
    <col min="16127" max="16127" width="14.109375" style="93" customWidth="1"/>
    <col min="16128" max="16128" width="12" style="93" customWidth="1"/>
    <col min="16129" max="16129" width="15.33203125" style="93" customWidth="1"/>
    <col min="16130" max="16384" width="9" style="93"/>
  </cols>
  <sheetData>
    <row r="1" spans="2:7" s="5" customFormat="1" ht="19.5" customHeight="1" x14ac:dyDescent="0.2">
      <c r="B1" s="6" t="s">
        <v>67</v>
      </c>
    </row>
    <row r="2" spans="2:7" s="5" customFormat="1" ht="16.2" x14ac:dyDescent="0.2">
      <c r="B2" s="6"/>
      <c r="C2" s="44"/>
      <c r="D2" s="5" t="s">
        <v>313</v>
      </c>
    </row>
    <row r="3" spans="2:7" s="5" customFormat="1" ht="16.2" x14ac:dyDescent="0.2">
      <c r="B3" s="6"/>
      <c r="C3" s="60"/>
      <c r="D3" s="5" t="s">
        <v>240</v>
      </c>
    </row>
    <row r="4" spans="2:7" s="5" customFormat="1" ht="19.5" customHeight="1" x14ac:dyDescent="0.2">
      <c r="B4" s="6"/>
    </row>
    <row r="5" spans="2:7" s="5" customFormat="1" ht="19.5" customHeight="1" x14ac:dyDescent="0.2">
      <c r="B5" s="6"/>
    </row>
    <row r="6" spans="2:7" s="5" customFormat="1" ht="39" customHeight="1" x14ac:dyDescent="0.2">
      <c r="B6" s="215" t="s">
        <v>107</v>
      </c>
      <c r="C6" s="215"/>
      <c r="D6" s="215"/>
      <c r="E6" s="215"/>
      <c r="F6" s="215"/>
      <c r="G6" s="215"/>
    </row>
    <row r="7" spans="2:7" s="5" customFormat="1" ht="121.95" customHeight="1" x14ac:dyDescent="0.2">
      <c r="B7" s="215" t="s">
        <v>109</v>
      </c>
      <c r="C7" s="215"/>
      <c r="D7" s="215"/>
      <c r="E7" s="215"/>
      <c r="F7" s="215"/>
      <c r="G7" s="215"/>
    </row>
    <row r="8" spans="2:7" s="5" customFormat="1" ht="19.5" customHeight="1" x14ac:dyDescent="0.2">
      <c r="B8" s="49" t="s">
        <v>110</v>
      </c>
      <c r="C8" s="49"/>
      <c r="D8" s="49"/>
      <c r="E8" s="49"/>
      <c r="F8" s="49"/>
      <c r="G8" s="49"/>
    </row>
    <row r="9" spans="2:7" s="7" customFormat="1" ht="19.5" customHeight="1" x14ac:dyDescent="0.2">
      <c r="B9" s="8"/>
    </row>
    <row r="10" spans="2:7" s="7" customFormat="1" ht="19.5" customHeight="1" x14ac:dyDescent="0.2">
      <c r="B10" s="5" t="s">
        <v>12</v>
      </c>
      <c r="C10" s="10"/>
      <c r="D10" s="9"/>
    </row>
    <row r="11" spans="2:7" s="7" customFormat="1" ht="19.5" customHeight="1" x14ac:dyDescent="0.2">
      <c r="B11" s="247" t="s">
        <v>63</v>
      </c>
      <c r="C11" s="247" t="s">
        <v>106</v>
      </c>
      <c r="D11" s="247"/>
      <c r="E11" s="247"/>
      <c r="F11" s="247"/>
      <c r="G11" s="247" t="s">
        <v>111</v>
      </c>
    </row>
    <row r="12" spans="2:7" s="7" customFormat="1" ht="19.5" customHeight="1" x14ac:dyDescent="0.2">
      <c r="B12" s="247"/>
      <c r="C12" s="91" t="s">
        <v>13</v>
      </c>
      <c r="D12" s="91" t="s">
        <v>14</v>
      </c>
      <c r="E12" s="91" t="s">
        <v>15</v>
      </c>
      <c r="F12" s="92" t="s">
        <v>17</v>
      </c>
      <c r="G12" s="247"/>
    </row>
    <row r="13" spans="2:7" s="7" customFormat="1" ht="19.5" customHeight="1" x14ac:dyDescent="0.2">
      <c r="B13" s="147" t="s">
        <v>27</v>
      </c>
      <c r="C13" s="95">
        <v>20</v>
      </c>
      <c r="D13" s="95">
        <v>30</v>
      </c>
      <c r="E13" s="95"/>
      <c r="F13" s="95">
        <v>30</v>
      </c>
      <c r="G13" s="37" t="s">
        <v>163</v>
      </c>
    </row>
    <row r="14" spans="2:7" s="7" customFormat="1" ht="19.5" customHeight="1" x14ac:dyDescent="0.2">
      <c r="B14" s="147" t="s">
        <v>98</v>
      </c>
      <c r="C14" s="95">
        <v>100</v>
      </c>
      <c r="D14" s="95">
        <v>50</v>
      </c>
      <c r="E14" s="95">
        <v>30</v>
      </c>
      <c r="F14" s="95">
        <v>30</v>
      </c>
      <c r="G14" s="295" t="s">
        <v>545</v>
      </c>
    </row>
    <row r="15" spans="2:7" s="7" customFormat="1" ht="19.5" customHeight="1" x14ac:dyDescent="0.2">
      <c r="B15" s="147" t="s">
        <v>97</v>
      </c>
      <c r="C15" s="96">
        <v>0.2</v>
      </c>
      <c r="D15" s="96">
        <v>0.1</v>
      </c>
      <c r="E15" s="96"/>
      <c r="F15" s="95"/>
      <c r="G15" s="295" t="s">
        <v>546</v>
      </c>
    </row>
    <row r="16" spans="2:7" s="7" customFormat="1" ht="19.5" customHeight="1" x14ac:dyDescent="0.2">
      <c r="B16" s="147" t="s">
        <v>167</v>
      </c>
      <c r="C16" s="96">
        <v>0.05</v>
      </c>
      <c r="D16" s="96">
        <v>0.1</v>
      </c>
      <c r="E16" s="96">
        <v>0.2</v>
      </c>
      <c r="F16" s="95"/>
      <c r="G16" s="37" t="s">
        <v>164</v>
      </c>
    </row>
    <row r="17" spans="2:7" ht="19.5" customHeight="1" x14ac:dyDescent="0.2">
      <c r="B17" s="93" t="s">
        <v>110</v>
      </c>
    </row>
    <row r="19" spans="2:7" ht="19.5" customHeight="1" x14ac:dyDescent="0.2">
      <c r="B19" s="242" t="s">
        <v>68</v>
      </c>
      <c r="C19" s="242"/>
      <c r="D19" s="242"/>
      <c r="E19" s="11" t="s">
        <v>165</v>
      </c>
      <c r="F19" s="97">
        <f>入力用シート!D30*入力用シート!D33</f>
        <v>102300</v>
      </c>
      <c r="G19" s="183"/>
    </row>
    <row r="20" spans="2:7" ht="19.5" customHeight="1" x14ac:dyDescent="0.2">
      <c r="B20" s="242" t="s">
        <v>69</v>
      </c>
      <c r="C20" s="242"/>
      <c r="D20" s="242"/>
      <c r="E20" s="11" t="s">
        <v>166</v>
      </c>
      <c r="F20" s="97">
        <f>F19-入力用シート!D32</f>
        <v>27801</v>
      </c>
      <c r="G20" s="183"/>
    </row>
    <row r="21" spans="2:7" ht="19.5" customHeight="1" x14ac:dyDescent="0.2">
      <c r="B21" s="299" t="s">
        <v>530</v>
      </c>
      <c r="C21" s="299"/>
      <c r="D21" s="299"/>
      <c r="E21" s="300"/>
      <c r="F21" s="97">
        <f>IF(ISNUMBER(入力用シート!D35)=TRUE,F20*入力用シート!D35/100,F20*入力用シート!D34/入力用シート!D32)</f>
        <v>219.05243023396287</v>
      </c>
      <c r="G21" s="183"/>
    </row>
    <row r="22" spans="2:7" ht="19.5" customHeight="1" x14ac:dyDescent="0.2">
      <c r="B22" s="244" t="s">
        <v>169</v>
      </c>
      <c r="C22" s="245"/>
      <c r="D22" s="245"/>
      <c r="E22" s="245"/>
      <c r="F22" s="246"/>
      <c r="G22" s="184"/>
    </row>
    <row r="23" spans="2:7" ht="19.5" customHeight="1" x14ac:dyDescent="0.2">
      <c r="B23" s="301" t="s">
        <v>531</v>
      </c>
      <c r="C23" s="301" t="s">
        <v>532</v>
      </c>
      <c r="D23" s="302" t="s">
        <v>13</v>
      </c>
      <c r="E23" s="11" t="s">
        <v>159</v>
      </c>
      <c r="F23" s="98">
        <f>IF(OR((入力用シート!D31-入力用シート!D29)&gt;20,入力用シート!D30&lt;100,$F$19*0.8&lt;入力用シート!D32),"－",ROUNDDOWN(入力用シート!D32*$C$16*入力用シート!D51,-2))</f>
        <v>10000</v>
      </c>
      <c r="G23" s="183"/>
    </row>
    <row r="24" spans="2:7" ht="19.5" customHeight="1" x14ac:dyDescent="0.2">
      <c r="B24" s="301"/>
      <c r="C24" s="301"/>
      <c r="D24" s="302" t="s">
        <v>14</v>
      </c>
      <c r="E24" s="94" t="s">
        <v>160</v>
      </c>
      <c r="F24" s="98">
        <f>IF(OR((入力用シート!D31-入力用シート!D29)&gt;30,入力用シート!D30&lt;50,$F$19*0.9&lt;入力用シート!D32),"－",ROUNDDOWN(入力用シート!D32*$D$16*入力用シート!D51,-2))</f>
        <v>20100</v>
      </c>
      <c r="G24" s="183"/>
    </row>
    <row r="25" spans="2:7" ht="19.5" customHeight="1" x14ac:dyDescent="0.2">
      <c r="B25" s="301"/>
      <c r="C25" s="301"/>
      <c r="D25" s="302" t="s">
        <v>15</v>
      </c>
      <c r="E25" s="11" t="s">
        <v>161</v>
      </c>
      <c r="F25" s="98">
        <f>IF(OR(入力用シート!D30&lt;30),"－",IF(ROUNDDOWN(入力用シート!D32*$E$16*入力用シート!D51,-2)&gt;F26,F26,ROUNDDOWN(入力用シート!D32*$E$16*入力用シート!D51,-2)))</f>
        <v>40200</v>
      </c>
      <c r="G25" s="183"/>
    </row>
    <row r="26" spans="2:7" ht="19.5" customHeight="1" x14ac:dyDescent="0.2">
      <c r="B26" s="301"/>
      <c r="C26" s="301" t="s">
        <v>16</v>
      </c>
      <c r="D26" s="301"/>
      <c r="E26" s="94" t="s">
        <v>162</v>
      </c>
      <c r="F26" s="98">
        <f>ROUNDDOWN(F20*入力用シート!D51,-2)</f>
        <v>75000</v>
      </c>
      <c r="G26" s="183"/>
    </row>
    <row r="27" spans="2:7" ht="19.5" customHeight="1" x14ac:dyDescent="0.2">
      <c r="B27" s="244" t="s">
        <v>170</v>
      </c>
      <c r="C27" s="245"/>
      <c r="D27" s="245"/>
      <c r="E27" s="245"/>
      <c r="F27" s="246"/>
      <c r="G27" s="184"/>
    </row>
    <row r="28" spans="2:7" ht="19.5" customHeight="1" x14ac:dyDescent="0.2">
      <c r="B28" s="301" t="s">
        <v>533</v>
      </c>
      <c r="C28" s="301" t="s">
        <v>532</v>
      </c>
      <c r="D28" s="302" t="s">
        <v>13</v>
      </c>
      <c r="E28" s="11" t="s">
        <v>152</v>
      </c>
      <c r="F28" s="98">
        <f>IF(OR((入力用シート!D31-入力用シート!D29)&gt;20,入力用シート!D30&lt;100,$F$19*0.8&lt;入力用シート!D32),"－",ROUNDDOWN(入力用シート!D34*$C$16*入力用シート!D51,-2))</f>
        <v>0</v>
      </c>
      <c r="G28" s="183"/>
    </row>
    <row r="29" spans="2:7" ht="19.5" customHeight="1" x14ac:dyDescent="0.2">
      <c r="B29" s="301"/>
      <c r="C29" s="301"/>
      <c r="D29" s="302" t="s">
        <v>14</v>
      </c>
      <c r="E29" s="94" t="s">
        <v>153</v>
      </c>
      <c r="F29" s="98">
        <f>IF(OR((入力用シート!D31-入力用シート!D29)&gt;30,入力用シート!D30&lt;50,$F$19*0.9&lt;入力用シート!D32),"－",ROUNDDOWN(入力用シート!D34*$D$16*入力用シート!D51,-2))</f>
        <v>100</v>
      </c>
      <c r="G29" s="183"/>
    </row>
    <row r="30" spans="2:7" ht="19.5" customHeight="1" x14ac:dyDescent="0.2">
      <c r="B30" s="301"/>
      <c r="C30" s="301"/>
      <c r="D30" s="302" t="s">
        <v>15</v>
      </c>
      <c r="E30" s="11" t="s">
        <v>154</v>
      </c>
      <c r="F30" s="98">
        <f>IF(OR(入力用シート!D30&lt;30),"－",IF(ROUNDDOWN(入力用シート!D34*$E$16*入力用シート!D51,-2)&gt;F31,F31,ROUNDDOWN(入力用シート!D34*$E$16*入力用シート!D51,-2)))</f>
        <v>300</v>
      </c>
      <c r="G30" s="183"/>
    </row>
    <row r="31" spans="2:7" ht="19.5" customHeight="1" x14ac:dyDescent="0.2">
      <c r="B31" s="301"/>
      <c r="C31" s="301" t="s">
        <v>16</v>
      </c>
      <c r="D31" s="301"/>
      <c r="E31" s="94" t="s">
        <v>155</v>
      </c>
      <c r="F31" s="98">
        <f>ROUNDDOWN(F21*入力用シート!D51,-2)</f>
        <v>500</v>
      </c>
      <c r="G31" s="183"/>
    </row>
    <row r="32" spans="2:7" ht="19.5" customHeight="1" x14ac:dyDescent="0.2">
      <c r="B32" s="93" t="s">
        <v>171</v>
      </c>
    </row>
    <row r="33" spans="2:3" ht="19.5" customHeight="1" x14ac:dyDescent="0.2">
      <c r="B33" s="93" t="s">
        <v>172</v>
      </c>
    </row>
    <row r="35" spans="2:3" ht="19.5" customHeight="1" x14ac:dyDescent="0.2">
      <c r="B35" s="127"/>
      <c r="C35" s="127"/>
    </row>
  </sheetData>
  <mergeCells count="16">
    <mergeCell ref="B7:G7"/>
    <mergeCell ref="C11:F11"/>
    <mergeCell ref="B11:B12"/>
    <mergeCell ref="G11:G12"/>
    <mergeCell ref="B6:G6"/>
    <mergeCell ref="B19:D19"/>
    <mergeCell ref="C28:C30"/>
    <mergeCell ref="B21:D21"/>
    <mergeCell ref="C31:D31"/>
    <mergeCell ref="B20:D20"/>
    <mergeCell ref="B27:F27"/>
    <mergeCell ref="B22:F22"/>
    <mergeCell ref="B23:B26"/>
    <mergeCell ref="B28:B31"/>
    <mergeCell ref="C23:C25"/>
    <mergeCell ref="C26:D26"/>
  </mergeCells>
  <phoneticPr fontId="2"/>
  <pageMargins left="0.51181102362204722" right="0.51181102362204722" top="0.98425196850393704" bottom="0.70866141732283472" header="0.70866141732283472" footer="0.70866141732283472"/>
  <pageSetup paperSize="9" orientation="portrait" r:id="rId1"/>
  <headerFooter scaleWithDoc="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36"/>
  <sheetViews>
    <sheetView zoomScaleNormal="100" workbookViewId="0"/>
  </sheetViews>
  <sheetFormatPr defaultRowHeight="13.5" customHeight="1" x14ac:dyDescent="0.2"/>
  <cols>
    <col min="1" max="1" width="3.6640625" style="7" customWidth="1"/>
    <col min="2" max="2" width="18.77734375" style="7" customWidth="1"/>
    <col min="3" max="3" width="12.6640625" style="7" customWidth="1"/>
    <col min="4" max="4" width="12.33203125" style="7" customWidth="1"/>
    <col min="5" max="5" width="10.6640625" style="132" customWidth="1"/>
    <col min="6" max="6" width="18.33203125" style="132" customWidth="1"/>
    <col min="7" max="7" width="18.33203125" style="7" customWidth="1"/>
    <col min="8" max="8" width="10.33203125" style="7" customWidth="1"/>
    <col min="9" max="17" width="10.88671875" style="7" customWidth="1"/>
    <col min="18" max="245" width="9" style="7"/>
    <col min="246" max="246" width="20.88671875" style="7" customWidth="1"/>
    <col min="247" max="247" width="27.44140625" style="7" customWidth="1"/>
    <col min="248" max="248" width="16.6640625" style="7" customWidth="1"/>
    <col min="249" max="249" width="16.44140625" style="7" customWidth="1"/>
    <col min="250" max="250" width="15.6640625" style="7" customWidth="1"/>
    <col min="251" max="251" width="14" style="7" bestFit="1" customWidth="1"/>
    <col min="252" max="252" width="14.33203125" style="7" customWidth="1"/>
    <col min="253" max="254" width="10.33203125" style="7" customWidth="1"/>
    <col min="255" max="255" width="13.6640625" style="7" bestFit="1" customWidth="1"/>
    <col min="256" max="256" width="13.6640625" style="7" customWidth="1"/>
    <col min="257" max="261" width="9" style="7"/>
    <col min="262" max="264" width="12.109375" style="7" bestFit="1" customWidth="1"/>
    <col min="265" max="265" width="12.33203125" style="7" bestFit="1" customWidth="1"/>
    <col min="266" max="501" width="9" style="7"/>
    <col min="502" max="502" width="20.88671875" style="7" customWidth="1"/>
    <col min="503" max="503" width="27.44140625" style="7" customWidth="1"/>
    <col min="504" max="504" width="16.6640625" style="7" customWidth="1"/>
    <col min="505" max="505" width="16.44140625" style="7" customWidth="1"/>
    <col min="506" max="506" width="15.6640625" style="7" customWidth="1"/>
    <col min="507" max="507" width="14" style="7" bestFit="1" customWidth="1"/>
    <col min="508" max="508" width="14.33203125" style="7" customWidth="1"/>
    <col min="509" max="510" width="10.33203125" style="7" customWidth="1"/>
    <col min="511" max="511" width="13.6640625" style="7" bestFit="1" customWidth="1"/>
    <col min="512" max="512" width="13.6640625" style="7" customWidth="1"/>
    <col min="513" max="517" width="9" style="7"/>
    <col min="518" max="520" width="12.109375" style="7" bestFit="1" customWidth="1"/>
    <col min="521" max="521" width="12.33203125" style="7" bestFit="1" customWidth="1"/>
    <col min="522" max="757" width="9" style="7"/>
    <col min="758" max="758" width="20.88671875" style="7" customWidth="1"/>
    <col min="759" max="759" width="27.44140625" style="7" customWidth="1"/>
    <col min="760" max="760" width="16.6640625" style="7" customWidth="1"/>
    <col min="761" max="761" width="16.44140625" style="7" customWidth="1"/>
    <col min="762" max="762" width="15.6640625" style="7" customWidth="1"/>
    <col min="763" max="763" width="14" style="7" bestFit="1" customWidth="1"/>
    <col min="764" max="764" width="14.33203125" style="7" customWidth="1"/>
    <col min="765" max="766" width="10.33203125" style="7" customWidth="1"/>
    <col min="767" max="767" width="13.6640625" style="7" bestFit="1" customWidth="1"/>
    <col min="768" max="768" width="13.6640625" style="7" customWidth="1"/>
    <col min="769" max="773" width="9" style="7"/>
    <col min="774" max="776" width="12.109375" style="7" bestFit="1" customWidth="1"/>
    <col min="777" max="777" width="12.33203125" style="7" bestFit="1" customWidth="1"/>
    <col min="778" max="1013" width="9" style="7"/>
    <col min="1014" max="1014" width="20.88671875" style="7" customWidth="1"/>
    <col min="1015" max="1015" width="27.44140625" style="7" customWidth="1"/>
    <col min="1016" max="1016" width="16.6640625" style="7" customWidth="1"/>
    <col min="1017" max="1017" width="16.44140625" style="7" customWidth="1"/>
    <col min="1018" max="1018" width="15.6640625" style="7" customWidth="1"/>
    <col min="1019" max="1019" width="14" style="7" bestFit="1" customWidth="1"/>
    <col min="1020" max="1020" width="14.33203125" style="7" customWidth="1"/>
    <col min="1021" max="1022" width="10.33203125" style="7" customWidth="1"/>
    <col min="1023" max="1023" width="13.6640625" style="7" bestFit="1" customWidth="1"/>
    <col min="1024" max="1024" width="13.6640625" style="7" customWidth="1"/>
    <col min="1025" max="1029" width="9" style="7"/>
    <col min="1030" max="1032" width="12.109375" style="7" bestFit="1" customWidth="1"/>
    <col min="1033" max="1033" width="12.33203125" style="7" bestFit="1" customWidth="1"/>
    <col min="1034" max="1269" width="9" style="7"/>
    <col min="1270" max="1270" width="20.88671875" style="7" customWidth="1"/>
    <col min="1271" max="1271" width="27.44140625" style="7" customWidth="1"/>
    <col min="1272" max="1272" width="16.6640625" style="7" customWidth="1"/>
    <col min="1273" max="1273" width="16.44140625" style="7" customWidth="1"/>
    <col min="1274" max="1274" width="15.6640625" style="7" customWidth="1"/>
    <col min="1275" max="1275" width="14" style="7" bestFit="1" customWidth="1"/>
    <col min="1276" max="1276" width="14.33203125" style="7" customWidth="1"/>
    <col min="1277" max="1278" width="10.33203125" style="7" customWidth="1"/>
    <col min="1279" max="1279" width="13.6640625" style="7" bestFit="1" customWidth="1"/>
    <col min="1280" max="1280" width="13.6640625" style="7" customWidth="1"/>
    <col min="1281" max="1285" width="9" style="7"/>
    <col min="1286" max="1288" width="12.109375" style="7" bestFit="1" customWidth="1"/>
    <col min="1289" max="1289" width="12.33203125" style="7" bestFit="1" customWidth="1"/>
    <col min="1290" max="1525" width="9" style="7"/>
    <col min="1526" max="1526" width="20.88671875" style="7" customWidth="1"/>
    <col min="1527" max="1527" width="27.44140625" style="7" customWidth="1"/>
    <col min="1528" max="1528" width="16.6640625" style="7" customWidth="1"/>
    <col min="1529" max="1529" width="16.44140625" style="7" customWidth="1"/>
    <col min="1530" max="1530" width="15.6640625" style="7" customWidth="1"/>
    <col min="1531" max="1531" width="14" style="7" bestFit="1" customWidth="1"/>
    <col min="1532" max="1532" width="14.33203125" style="7" customWidth="1"/>
    <col min="1533" max="1534" width="10.33203125" style="7" customWidth="1"/>
    <col min="1535" max="1535" width="13.6640625" style="7" bestFit="1" customWidth="1"/>
    <col min="1536" max="1536" width="13.6640625" style="7" customWidth="1"/>
    <col min="1537" max="1541" width="9" style="7"/>
    <col min="1542" max="1544" width="12.109375" style="7" bestFit="1" customWidth="1"/>
    <col min="1545" max="1545" width="12.33203125" style="7" bestFit="1" customWidth="1"/>
    <col min="1546" max="1781" width="9" style="7"/>
    <col min="1782" max="1782" width="20.88671875" style="7" customWidth="1"/>
    <col min="1783" max="1783" width="27.44140625" style="7" customWidth="1"/>
    <col min="1784" max="1784" width="16.6640625" style="7" customWidth="1"/>
    <col min="1785" max="1785" width="16.44140625" style="7" customWidth="1"/>
    <col min="1786" max="1786" width="15.6640625" style="7" customWidth="1"/>
    <col min="1787" max="1787" width="14" style="7" bestFit="1" customWidth="1"/>
    <col min="1788" max="1788" width="14.33203125" style="7" customWidth="1"/>
    <col min="1789" max="1790" width="10.33203125" style="7" customWidth="1"/>
    <col min="1791" max="1791" width="13.6640625" style="7" bestFit="1" customWidth="1"/>
    <col min="1792" max="1792" width="13.6640625" style="7" customWidth="1"/>
    <col min="1793" max="1797" width="9" style="7"/>
    <col min="1798" max="1800" width="12.109375" style="7" bestFit="1" customWidth="1"/>
    <col min="1801" max="1801" width="12.33203125" style="7" bestFit="1" customWidth="1"/>
    <col min="1802" max="2037" width="9" style="7"/>
    <col min="2038" max="2038" width="20.88671875" style="7" customWidth="1"/>
    <col min="2039" max="2039" width="27.44140625" style="7" customWidth="1"/>
    <col min="2040" max="2040" width="16.6640625" style="7" customWidth="1"/>
    <col min="2041" max="2041" width="16.44140625" style="7" customWidth="1"/>
    <col min="2042" max="2042" width="15.6640625" style="7" customWidth="1"/>
    <col min="2043" max="2043" width="14" style="7" bestFit="1" customWidth="1"/>
    <col min="2044" max="2044" width="14.33203125" style="7" customWidth="1"/>
    <col min="2045" max="2046" width="10.33203125" style="7" customWidth="1"/>
    <col min="2047" max="2047" width="13.6640625" style="7" bestFit="1" customWidth="1"/>
    <col min="2048" max="2048" width="13.6640625" style="7" customWidth="1"/>
    <col min="2049" max="2053" width="9" style="7"/>
    <col min="2054" max="2056" width="12.109375" style="7" bestFit="1" customWidth="1"/>
    <col min="2057" max="2057" width="12.33203125" style="7" bestFit="1" customWidth="1"/>
    <col min="2058" max="2293" width="9" style="7"/>
    <col min="2294" max="2294" width="20.88671875" style="7" customWidth="1"/>
    <col min="2295" max="2295" width="27.44140625" style="7" customWidth="1"/>
    <col min="2296" max="2296" width="16.6640625" style="7" customWidth="1"/>
    <col min="2297" max="2297" width="16.44140625" style="7" customWidth="1"/>
    <col min="2298" max="2298" width="15.6640625" style="7" customWidth="1"/>
    <col min="2299" max="2299" width="14" style="7" bestFit="1" customWidth="1"/>
    <col min="2300" max="2300" width="14.33203125" style="7" customWidth="1"/>
    <col min="2301" max="2302" width="10.33203125" style="7" customWidth="1"/>
    <col min="2303" max="2303" width="13.6640625" style="7" bestFit="1" customWidth="1"/>
    <col min="2304" max="2304" width="13.6640625" style="7" customWidth="1"/>
    <col min="2305" max="2309" width="9" style="7"/>
    <col min="2310" max="2312" width="12.109375" style="7" bestFit="1" customWidth="1"/>
    <col min="2313" max="2313" width="12.33203125" style="7" bestFit="1" customWidth="1"/>
    <col min="2314" max="2549" width="9" style="7"/>
    <col min="2550" max="2550" width="20.88671875" style="7" customWidth="1"/>
    <col min="2551" max="2551" width="27.44140625" style="7" customWidth="1"/>
    <col min="2552" max="2552" width="16.6640625" style="7" customWidth="1"/>
    <col min="2553" max="2553" width="16.44140625" style="7" customWidth="1"/>
    <col min="2554" max="2554" width="15.6640625" style="7" customWidth="1"/>
    <col min="2555" max="2555" width="14" style="7" bestFit="1" customWidth="1"/>
    <col min="2556" max="2556" width="14.33203125" style="7" customWidth="1"/>
    <col min="2557" max="2558" width="10.33203125" style="7" customWidth="1"/>
    <col min="2559" max="2559" width="13.6640625" style="7" bestFit="1" customWidth="1"/>
    <col min="2560" max="2560" width="13.6640625" style="7" customWidth="1"/>
    <col min="2561" max="2565" width="9" style="7"/>
    <col min="2566" max="2568" width="12.109375" style="7" bestFit="1" customWidth="1"/>
    <col min="2569" max="2569" width="12.33203125" style="7" bestFit="1" customWidth="1"/>
    <col min="2570" max="2805" width="9" style="7"/>
    <col min="2806" max="2806" width="20.88671875" style="7" customWidth="1"/>
    <col min="2807" max="2807" width="27.44140625" style="7" customWidth="1"/>
    <col min="2808" max="2808" width="16.6640625" style="7" customWidth="1"/>
    <col min="2809" max="2809" width="16.44140625" style="7" customWidth="1"/>
    <col min="2810" max="2810" width="15.6640625" style="7" customWidth="1"/>
    <col min="2811" max="2811" width="14" style="7" bestFit="1" customWidth="1"/>
    <col min="2812" max="2812" width="14.33203125" style="7" customWidth="1"/>
    <col min="2813" max="2814" width="10.33203125" style="7" customWidth="1"/>
    <col min="2815" max="2815" width="13.6640625" style="7" bestFit="1" customWidth="1"/>
    <col min="2816" max="2816" width="13.6640625" style="7" customWidth="1"/>
    <col min="2817" max="2821" width="9" style="7"/>
    <col min="2822" max="2824" width="12.109375" style="7" bestFit="1" customWidth="1"/>
    <col min="2825" max="2825" width="12.33203125" style="7" bestFit="1" customWidth="1"/>
    <col min="2826" max="3061" width="9" style="7"/>
    <col min="3062" max="3062" width="20.88671875" style="7" customWidth="1"/>
    <col min="3063" max="3063" width="27.44140625" style="7" customWidth="1"/>
    <col min="3064" max="3064" width="16.6640625" style="7" customWidth="1"/>
    <col min="3065" max="3065" width="16.44140625" style="7" customWidth="1"/>
    <col min="3066" max="3066" width="15.6640625" style="7" customWidth="1"/>
    <col min="3067" max="3067" width="14" style="7" bestFit="1" customWidth="1"/>
    <col min="3068" max="3068" width="14.33203125" style="7" customWidth="1"/>
    <col min="3069" max="3070" width="10.33203125" style="7" customWidth="1"/>
    <col min="3071" max="3071" width="13.6640625" style="7" bestFit="1" customWidth="1"/>
    <col min="3072" max="3072" width="13.6640625" style="7" customWidth="1"/>
    <col min="3073" max="3077" width="9" style="7"/>
    <col min="3078" max="3080" width="12.109375" style="7" bestFit="1" customWidth="1"/>
    <col min="3081" max="3081" width="12.33203125" style="7" bestFit="1" customWidth="1"/>
    <col min="3082" max="3317" width="9" style="7"/>
    <col min="3318" max="3318" width="20.88671875" style="7" customWidth="1"/>
    <col min="3319" max="3319" width="27.44140625" style="7" customWidth="1"/>
    <col min="3320" max="3320" width="16.6640625" style="7" customWidth="1"/>
    <col min="3321" max="3321" width="16.44140625" style="7" customWidth="1"/>
    <col min="3322" max="3322" width="15.6640625" style="7" customWidth="1"/>
    <col min="3323" max="3323" width="14" style="7" bestFit="1" customWidth="1"/>
    <col min="3324" max="3324" width="14.33203125" style="7" customWidth="1"/>
    <col min="3325" max="3326" width="10.33203125" style="7" customWidth="1"/>
    <col min="3327" max="3327" width="13.6640625" style="7" bestFit="1" customWidth="1"/>
    <col min="3328" max="3328" width="13.6640625" style="7" customWidth="1"/>
    <col min="3329" max="3333" width="9" style="7"/>
    <col min="3334" max="3336" width="12.109375" style="7" bestFit="1" customWidth="1"/>
    <col min="3337" max="3337" width="12.33203125" style="7" bestFit="1" customWidth="1"/>
    <col min="3338" max="3573" width="9" style="7"/>
    <col min="3574" max="3574" width="20.88671875" style="7" customWidth="1"/>
    <col min="3575" max="3575" width="27.44140625" style="7" customWidth="1"/>
    <col min="3576" max="3576" width="16.6640625" style="7" customWidth="1"/>
    <col min="3577" max="3577" width="16.44140625" style="7" customWidth="1"/>
    <col min="3578" max="3578" width="15.6640625" style="7" customWidth="1"/>
    <col min="3579" max="3579" width="14" style="7" bestFit="1" customWidth="1"/>
    <col min="3580" max="3580" width="14.33203125" style="7" customWidth="1"/>
    <col min="3581" max="3582" width="10.33203125" style="7" customWidth="1"/>
    <col min="3583" max="3583" width="13.6640625" style="7" bestFit="1" customWidth="1"/>
    <col min="3584" max="3584" width="13.6640625" style="7" customWidth="1"/>
    <col min="3585" max="3589" width="9" style="7"/>
    <col min="3590" max="3592" width="12.109375" style="7" bestFit="1" customWidth="1"/>
    <col min="3593" max="3593" width="12.33203125" style="7" bestFit="1" customWidth="1"/>
    <col min="3594" max="3829" width="9" style="7"/>
    <col min="3830" max="3830" width="20.88671875" style="7" customWidth="1"/>
    <col min="3831" max="3831" width="27.44140625" style="7" customWidth="1"/>
    <col min="3832" max="3832" width="16.6640625" style="7" customWidth="1"/>
    <col min="3833" max="3833" width="16.44140625" style="7" customWidth="1"/>
    <col min="3834" max="3834" width="15.6640625" style="7" customWidth="1"/>
    <col min="3835" max="3835" width="14" style="7" bestFit="1" customWidth="1"/>
    <col min="3836" max="3836" width="14.33203125" style="7" customWidth="1"/>
    <col min="3837" max="3838" width="10.33203125" style="7" customWidth="1"/>
    <col min="3839" max="3839" width="13.6640625" style="7" bestFit="1" customWidth="1"/>
    <col min="3840" max="3840" width="13.6640625" style="7" customWidth="1"/>
    <col min="3841" max="3845" width="9" style="7"/>
    <col min="3846" max="3848" width="12.109375" style="7" bestFit="1" customWidth="1"/>
    <col min="3849" max="3849" width="12.33203125" style="7" bestFit="1" customWidth="1"/>
    <col min="3850" max="4085" width="9" style="7"/>
    <col min="4086" max="4086" width="20.88671875" style="7" customWidth="1"/>
    <col min="4087" max="4087" width="27.44140625" style="7" customWidth="1"/>
    <col min="4088" max="4088" width="16.6640625" style="7" customWidth="1"/>
    <col min="4089" max="4089" width="16.44140625" style="7" customWidth="1"/>
    <col min="4090" max="4090" width="15.6640625" style="7" customWidth="1"/>
    <col min="4091" max="4091" width="14" style="7" bestFit="1" customWidth="1"/>
    <col min="4092" max="4092" width="14.33203125" style="7" customWidth="1"/>
    <col min="4093" max="4094" width="10.33203125" style="7" customWidth="1"/>
    <col min="4095" max="4095" width="13.6640625" style="7" bestFit="1" customWidth="1"/>
    <col min="4096" max="4096" width="13.6640625" style="7" customWidth="1"/>
    <col min="4097" max="4101" width="9" style="7"/>
    <col min="4102" max="4104" width="12.109375" style="7" bestFit="1" customWidth="1"/>
    <col min="4105" max="4105" width="12.33203125" style="7" bestFit="1" customWidth="1"/>
    <col min="4106" max="4341" width="9" style="7"/>
    <col min="4342" max="4342" width="20.88671875" style="7" customWidth="1"/>
    <col min="4343" max="4343" width="27.44140625" style="7" customWidth="1"/>
    <col min="4344" max="4344" width="16.6640625" style="7" customWidth="1"/>
    <col min="4345" max="4345" width="16.44140625" style="7" customWidth="1"/>
    <col min="4346" max="4346" width="15.6640625" style="7" customWidth="1"/>
    <col min="4347" max="4347" width="14" style="7" bestFit="1" customWidth="1"/>
    <col min="4348" max="4348" width="14.33203125" style="7" customWidth="1"/>
    <col min="4349" max="4350" width="10.33203125" style="7" customWidth="1"/>
    <col min="4351" max="4351" width="13.6640625" style="7" bestFit="1" customWidth="1"/>
    <col min="4352" max="4352" width="13.6640625" style="7" customWidth="1"/>
    <col min="4353" max="4357" width="9" style="7"/>
    <col min="4358" max="4360" width="12.109375" style="7" bestFit="1" customWidth="1"/>
    <col min="4361" max="4361" width="12.33203125" style="7" bestFit="1" customWidth="1"/>
    <col min="4362" max="4597" width="9" style="7"/>
    <col min="4598" max="4598" width="20.88671875" style="7" customWidth="1"/>
    <col min="4599" max="4599" width="27.44140625" style="7" customWidth="1"/>
    <col min="4600" max="4600" width="16.6640625" style="7" customWidth="1"/>
    <col min="4601" max="4601" width="16.44140625" style="7" customWidth="1"/>
    <col min="4602" max="4602" width="15.6640625" style="7" customWidth="1"/>
    <col min="4603" max="4603" width="14" style="7" bestFit="1" customWidth="1"/>
    <col min="4604" max="4604" width="14.33203125" style="7" customWidth="1"/>
    <col min="4605" max="4606" width="10.33203125" style="7" customWidth="1"/>
    <col min="4607" max="4607" width="13.6640625" style="7" bestFit="1" customWidth="1"/>
    <col min="4608" max="4608" width="13.6640625" style="7" customWidth="1"/>
    <col min="4609" max="4613" width="9" style="7"/>
    <col min="4614" max="4616" width="12.109375" style="7" bestFit="1" customWidth="1"/>
    <col min="4617" max="4617" width="12.33203125" style="7" bestFit="1" customWidth="1"/>
    <col min="4618" max="4853" width="9" style="7"/>
    <col min="4854" max="4854" width="20.88671875" style="7" customWidth="1"/>
    <col min="4855" max="4855" width="27.44140625" style="7" customWidth="1"/>
    <col min="4856" max="4856" width="16.6640625" style="7" customWidth="1"/>
    <col min="4857" max="4857" width="16.44140625" style="7" customWidth="1"/>
    <col min="4858" max="4858" width="15.6640625" style="7" customWidth="1"/>
    <col min="4859" max="4859" width="14" style="7" bestFit="1" customWidth="1"/>
    <col min="4860" max="4860" width="14.33203125" style="7" customWidth="1"/>
    <col min="4861" max="4862" width="10.33203125" style="7" customWidth="1"/>
    <col min="4863" max="4863" width="13.6640625" style="7" bestFit="1" customWidth="1"/>
    <col min="4864" max="4864" width="13.6640625" style="7" customWidth="1"/>
    <col min="4865" max="4869" width="9" style="7"/>
    <col min="4870" max="4872" width="12.109375" style="7" bestFit="1" customWidth="1"/>
    <col min="4873" max="4873" width="12.33203125" style="7" bestFit="1" customWidth="1"/>
    <col min="4874" max="5109" width="9" style="7"/>
    <col min="5110" max="5110" width="20.88671875" style="7" customWidth="1"/>
    <col min="5111" max="5111" width="27.44140625" style="7" customWidth="1"/>
    <col min="5112" max="5112" width="16.6640625" style="7" customWidth="1"/>
    <col min="5113" max="5113" width="16.44140625" style="7" customWidth="1"/>
    <col min="5114" max="5114" width="15.6640625" style="7" customWidth="1"/>
    <col min="5115" max="5115" width="14" style="7" bestFit="1" customWidth="1"/>
    <col min="5116" max="5116" width="14.33203125" style="7" customWidth="1"/>
    <col min="5117" max="5118" width="10.33203125" style="7" customWidth="1"/>
    <col min="5119" max="5119" width="13.6640625" style="7" bestFit="1" customWidth="1"/>
    <col min="5120" max="5120" width="13.6640625" style="7" customWidth="1"/>
    <col min="5121" max="5125" width="9" style="7"/>
    <col min="5126" max="5128" width="12.109375" style="7" bestFit="1" customWidth="1"/>
    <col min="5129" max="5129" width="12.33203125" style="7" bestFit="1" customWidth="1"/>
    <col min="5130" max="5365" width="9" style="7"/>
    <col min="5366" max="5366" width="20.88671875" style="7" customWidth="1"/>
    <col min="5367" max="5367" width="27.44140625" style="7" customWidth="1"/>
    <col min="5368" max="5368" width="16.6640625" style="7" customWidth="1"/>
    <col min="5369" max="5369" width="16.44140625" style="7" customWidth="1"/>
    <col min="5370" max="5370" width="15.6640625" style="7" customWidth="1"/>
    <col min="5371" max="5371" width="14" style="7" bestFit="1" customWidth="1"/>
    <col min="5372" max="5372" width="14.33203125" style="7" customWidth="1"/>
    <col min="5373" max="5374" width="10.33203125" style="7" customWidth="1"/>
    <col min="5375" max="5375" width="13.6640625" style="7" bestFit="1" customWidth="1"/>
    <col min="5376" max="5376" width="13.6640625" style="7" customWidth="1"/>
    <col min="5377" max="5381" width="9" style="7"/>
    <col min="5382" max="5384" width="12.109375" style="7" bestFit="1" customWidth="1"/>
    <col min="5385" max="5385" width="12.33203125" style="7" bestFit="1" customWidth="1"/>
    <col min="5386" max="5621" width="9" style="7"/>
    <col min="5622" max="5622" width="20.88671875" style="7" customWidth="1"/>
    <col min="5623" max="5623" width="27.44140625" style="7" customWidth="1"/>
    <col min="5624" max="5624" width="16.6640625" style="7" customWidth="1"/>
    <col min="5625" max="5625" width="16.44140625" style="7" customWidth="1"/>
    <col min="5626" max="5626" width="15.6640625" style="7" customWidth="1"/>
    <col min="5627" max="5627" width="14" style="7" bestFit="1" customWidth="1"/>
    <col min="5628" max="5628" width="14.33203125" style="7" customWidth="1"/>
    <col min="5629" max="5630" width="10.33203125" style="7" customWidth="1"/>
    <col min="5631" max="5631" width="13.6640625" style="7" bestFit="1" customWidth="1"/>
    <col min="5632" max="5632" width="13.6640625" style="7" customWidth="1"/>
    <col min="5633" max="5637" width="9" style="7"/>
    <col min="5638" max="5640" width="12.109375" style="7" bestFit="1" customWidth="1"/>
    <col min="5641" max="5641" width="12.33203125" style="7" bestFit="1" customWidth="1"/>
    <col min="5642" max="5877" width="9" style="7"/>
    <col min="5878" max="5878" width="20.88671875" style="7" customWidth="1"/>
    <col min="5879" max="5879" width="27.44140625" style="7" customWidth="1"/>
    <col min="5880" max="5880" width="16.6640625" style="7" customWidth="1"/>
    <col min="5881" max="5881" width="16.44140625" style="7" customWidth="1"/>
    <col min="5882" max="5882" width="15.6640625" style="7" customWidth="1"/>
    <col min="5883" max="5883" width="14" style="7" bestFit="1" customWidth="1"/>
    <col min="5884" max="5884" width="14.33203125" style="7" customWidth="1"/>
    <col min="5885" max="5886" width="10.33203125" style="7" customWidth="1"/>
    <col min="5887" max="5887" width="13.6640625" style="7" bestFit="1" customWidth="1"/>
    <col min="5888" max="5888" width="13.6640625" style="7" customWidth="1"/>
    <col min="5889" max="5893" width="9" style="7"/>
    <col min="5894" max="5896" width="12.109375" style="7" bestFit="1" customWidth="1"/>
    <col min="5897" max="5897" width="12.33203125" style="7" bestFit="1" customWidth="1"/>
    <col min="5898" max="6133" width="9" style="7"/>
    <col min="6134" max="6134" width="20.88671875" style="7" customWidth="1"/>
    <col min="6135" max="6135" width="27.44140625" style="7" customWidth="1"/>
    <col min="6136" max="6136" width="16.6640625" style="7" customWidth="1"/>
    <col min="6137" max="6137" width="16.44140625" style="7" customWidth="1"/>
    <col min="6138" max="6138" width="15.6640625" style="7" customWidth="1"/>
    <col min="6139" max="6139" width="14" style="7" bestFit="1" customWidth="1"/>
    <col min="6140" max="6140" width="14.33203125" style="7" customWidth="1"/>
    <col min="6141" max="6142" width="10.33203125" style="7" customWidth="1"/>
    <col min="6143" max="6143" width="13.6640625" style="7" bestFit="1" customWidth="1"/>
    <col min="6144" max="6144" width="13.6640625" style="7" customWidth="1"/>
    <col min="6145" max="6149" width="9" style="7"/>
    <col min="6150" max="6152" width="12.109375" style="7" bestFit="1" customWidth="1"/>
    <col min="6153" max="6153" width="12.33203125" style="7" bestFit="1" customWidth="1"/>
    <col min="6154" max="6389" width="9" style="7"/>
    <col min="6390" max="6390" width="20.88671875" style="7" customWidth="1"/>
    <col min="6391" max="6391" width="27.44140625" style="7" customWidth="1"/>
    <col min="6392" max="6392" width="16.6640625" style="7" customWidth="1"/>
    <col min="6393" max="6393" width="16.44140625" style="7" customWidth="1"/>
    <col min="6394" max="6394" width="15.6640625" style="7" customWidth="1"/>
    <col min="6395" max="6395" width="14" style="7" bestFit="1" customWidth="1"/>
    <col min="6396" max="6396" width="14.33203125" style="7" customWidth="1"/>
    <col min="6397" max="6398" width="10.33203125" style="7" customWidth="1"/>
    <col min="6399" max="6399" width="13.6640625" style="7" bestFit="1" customWidth="1"/>
    <col min="6400" max="6400" width="13.6640625" style="7" customWidth="1"/>
    <col min="6401" max="6405" width="9" style="7"/>
    <col min="6406" max="6408" width="12.109375" style="7" bestFit="1" customWidth="1"/>
    <col min="6409" max="6409" width="12.33203125" style="7" bestFit="1" customWidth="1"/>
    <col min="6410" max="6645" width="9" style="7"/>
    <col min="6646" max="6646" width="20.88671875" style="7" customWidth="1"/>
    <col min="6647" max="6647" width="27.44140625" style="7" customWidth="1"/>
    <col min="6648" max="6648" width="16.6640625" style="7" customWidth="1"/>
    <col min="6649" max="6649" width="16.44140625" style="7" customWidth="1"/>
    <col min="6650" max="6650" width="15.6640625" style="7" customWidth="1"/>
    <col min="6651" max="6651" width="14" style="7" bestFit="1" customWidth="1"/>
    <col min="6652" max="6652" width="14.33203125" style="7" customWidth="1"/>
    <col min="6653" max="6654" width="10.33203125" style="7" customWidth="1"/>
    <col min="6655" max="6655" width="13.6640625" style="7" bestFit="1" customWidth="1"/>
    <col min="6656" max="6656" width="13.6640625" style="7" customWidth="1"/>
    <col min="6657" max="6661" width="9" style="7"/>
    <col min="6662" max="6664" width="12.109375" style="7" bestFit="1" customWidth="1"/>
    <col min="6665" max="6665" width="12.33203125" style="7" bestFit="1" customWidth="1"/>
    <col min="6666" max="6901" width="9" style="7"/>
    <col min="6902" max="6902" width="20.88671875" style="7" customWidth="1"/>
    <col min="6903" max="6903" width="27.44140625" style="7" customWidth="1"/>
    <col min="6904" max="6904" width="16.6640625" style="7" customWidth="1"/>
    <col min="6905" max="6905" width="16.44140625" style="7" customWidth="1"/>
    <col min="6906" max="6906" width="15.6640625" style="7" customWidth="1"/>
    <col min="6907" max="6907" width="14" style="7" bestFit="1" customWidth="1"/>
    <col min="6908" max="6908" width="14.33203125" style="7" customWidth="1"/>
    <col min="6909" max="6910" width="10.33203125" style="7" customWidth="1"/>
    <col min="6911" max="6911" width="13.6640625" style="7" bestFit="1" customWidth="1"/>
    <col min="6912" max="6912" width="13.6640625" style="7" customWidth="1"/>
    <col min="6913" max="6917" width="9" style="7"/>
    <col min="6918" max="6920" width="12.109375" style="7" bestFit="1" customWidth="1"/>
    <col min="6921" max="6921" width="12.33203125" style="7" bestFit="1" customWidth="1"/>
    <col min="6922" max="7157" width="9" style="7"/>
    <col min="7158" max="7158" width="20.88671875" style="7" customWidth="1"/>
    <col min="7159" max="7159" width="27.44140625" style="7" customWidth="1"/>
    <col min="7160" max="7160" width="16.6640625" style="7" customWidth="1"/>
    <col min="7161" max="7161" width="16.44140625" style="7" customWidth="1"/>
    <col min="7162" max="7162" width="15.6640625" style="7" customWidth="1"/>
    <col min="7163" max="7163" width="14" style="7" bestFit="1" customWidth="1"/>
    <col min="7164" max="7164" width="14.33203125" style="7" customWidth="1"/>
    <col min="7165" max="7166" width="10.33203125" style="7" customWidth="1"/>
    <col min="7167" max="7167" width="13.6640625" style="7" bestFit="1" customWidth="1"/>
    <col min="7168" max="7168" width="13.6640625" style="7" customWidth="1"/>
    <col min="7169" max="7173" width="9" style="7"/>
    <col min="7174" max="7176" width="12.109375" style="7" bestFit="1" customWidth="1"/>
    <col min="7177" max="7177" width="12.33203125" style="7" bestFit="1" customWidth="1"/>
    <col min="7178" max="7413" width="9" style="7"/>
    <col min="7414" max="7414" width="20.88671875" style="7" customWidth="1"/>
    <col min="7415" max="7415" width="27.44140625" style="7" customWidth="1"/>
    <col min="7416" max="7416" width="16.6640625" style="7" customWidth="1"/>
    <col min="7417" max="7417" width="16.44140625" style="7" customWidth="1"/>
    <col min="7418" max="7418" width="15.6640625" style="7" customWidth="1"/>
    <col min="7419" max="7419" width="14" style="7" bestFit="1" customWidth="1"/>
    <col min="7420" max="7420" width="14.33203125" style="7" customWidth="1"/>
    <col min="7421" max="7422" width="10.33203125" style="7" customWidth="1"/>
    <col min="7423" max="7423" width="13.6640625" style="7" bestFit="1" customWidth="1"/>
    <col min="7424" max="7424" width="13.6640625" style="7" customWidth="1"/>
    <col min="7425" max="7429" width="9" style="7"/>
    <col min="7430" max="7432" width="12.109375" style="7" bestFit="1" customWidth="1"/>
    <col min="7433" max="7433" width="12.33203125" style="7" bestFit="1" customWidth="1"/>
    <col min="7434" max="7669" width="9" style="7"/>
    <col min="7670" max="7670" width="20.88671875" style="7" customWidth="1"/>
    <col min="7671" max="7671" width="27.44140625" style="7" customWidth="1"/>
    <col min="7672" max="7672" width="16.6640625" style="7" customWidth="1"/>
    <col min="7673" max="7673" width="16.44140625" style="7" customWidth="1"/>
    <col min="7674" max="7674" width="15.6640625" style="7" customWidth="1"/>
    <col min="7675" max="7675" width="14" style="7" bestFit="1" customWidth="1"/>
    <col min="7676" max="7676" width="14.33203125" style="7" customWidth="1"/>
    <col min="7677" max="7678" width="10.33203125" style="7" customWidth="1"/>
    <col min="7679" max="7679" width="13.6640625" style="7" bestFit="1" customWidth="1"/>
    <col min="7680" max="7680" width="13.6640625" style="7" customWidth="1"/>
    <col min="7681" max="7685" width="9" style="7"/>
    <col min="7686" max="7688" width="12.109375" style="7" bestFit="1" customWidth="1"/>
    <col min="7689" max="7689" width="12.33203125" style="7" bestFit="1" customWidth="1"/>
    <col min="7690" max="7925" width="9" style="7"/>
    <col min="7926" max="7926" width="20.88671875" style="7" customWidth="1"/>
    <col min="7927" max="7927" width="27.44140625" style="7" customWidth="1"/>
    <col min="7928" max="7928" width="16.6640625" style="7" customWidth="1"/>
    <col min="7929" max="7929" width="16.44140625" style="7" customWidth="1"/>
    <col min="7930" max="7930" width="15.6640625" style="7" customWidth="1"/>
    <col min="7931" max="7931" width="14" style="7" bestFit="1" customWidth="1"/>
    <col min="7932" max="7932" width="14.33203125" style="7" customWidth="1"/>
    <col min="7933" max="7934" width="10.33203125" style="7" customWidth="1"/>
    <col min="7935" max="7935" width="13.6640625" style="7" bestFit="1" customWidth="1"/>
    <col min="7936" max="7936" width="13.6640625" style="7" customWidth="1"/>
    <col min="7937" max="7941" width="9" style="7"/>
    <col min="7942" max="7944" width="12.109375" style="7" bestFit="1" customWidth="1"/>
    <col min="7945" max="7945" width="12.33203125" style="7" bestFit="1" customWidth="1"/>
    <col min="7946" max="8181" width="9" style="7"/>
    <col min="8182" max="8182" width="20.88671875" style="7" customWidth="1"/>
    <col min="8183" max="8183" width="27.44140625" style="7" customWidth="1"/>
    <col min="8184" max="8184" width="16.6640625" style="7" customWidth="1"/>
    <col min="8185" max="8185" width="16.44140625" style="7" customWidth="1"/>
    <col min="8186" max="8186" width="15.6640625" style="7" customWidth="1"/>
    <col min="8187" max="8187" width="14" style="7" bestFit="1" customWidth="1"/>
    <col min="8188" max="8188" width="14.33203125" style="7" customWidth="1"/>
    <col min="8189" max="8190" width="10.33203125" style="7" customWidth="1"/>
    <col min="8191" max="8191" width="13.6640625" style="7" bestFit="1" customWidth="1"/>
    <col min="8192" max="8192" width="13.6640625" style="7" customWidth="1"/>
    <col min="8193" max="8197" width="9" style="7"/>
    <col min="8198" max="8200" width="12.109375" style="7" bestFit="1" customWidth="1"/>
    <col min="8201" max="8201" width="12.33203125" style="7" bestFit="1" customWidth="1"/>
    <col min="8202" max="8437" width="9" style="7"/>
    <col min="8438" max="8438" width="20.88671875" style="7" customWidth="1"/>
    <col min="8439" max="8439" width="27.44140625" style="7" customWidth="1"/>
    <col min="8440" max="8440" width="16.6640625" style="7" customWidth="1"/>
    <col min="8441" max="8441" width="16.44140625" style="7" customWidth="1"/>
    <col min="8442" max="8442" width="15.6640625" style="7" customWidth="1"/>
    <col min="8443" max="8443" width="14" style="7" bestFit="1" customWidth="1"/>
    <col min="8444" max="8444" width="14.33203125" style="7" customWidth="1"/>
    <col min="8445" max="8446" width="10.33203125" style="7" customWidth="1"/>
    <col min="8447" max="8447" width="13.6640625" style="7" bestFit="1" customWidth="1"/>
    <col min="8448" max="8448" width="13.6640625" style="7" customWidth="1"/>
    <col min="8449" max="8453" width="9" style="7"/>
    <col min="8454" max="8456" width="12.109375" style="7" bestFit="1" customWidth="1"/>
    <col min="8457" max="8457" width="12.33203125" style="7" bestFit="1" customWidth="1"/>
    <col min="8458" max="8693" width="9" style="7"/>
    <col min="8694" max="8694" width="20.88671875" style="7" customWidth="1"/>
    <col min="8695" max="8695" width="27.44140625" style="7" customWidth="1"/>
    <col min="8696" max="8696" width="16.6640625" style="7" customWidth="1"/>
    <col min="8697" max="8697" width="16.44140625" style="7" customWidth="1"/>
    <col min="8698" max="8698" width="15.6640625" style="7" customWidth="1"/>
    <col min="8699" max="8699" width="14" style="7" bestFit="1" customWidth="1"/>
    <col min="8700" max="8700" width="14.33203125" style="7" customWidth="1"/>
    <col min="8701" max="8702" width="10.33203125" style="7" customWidth="1"/>
    <col min="8703" max="8703" width="13.6640625" style="7" bestFit="1" customWidth="1"/>
    <col min="8704" max="8704" width="13.6640625" style="7" customWidth="1"/>
    <col min="8705" max="8709" width="9" style="7"/>
    <col min="8710" max="8712" width="12.109375" style="7" bestFit="1" customWidth="1"/>
    <col min="8713" max="8713" width="12.33203125" style="7" bestFit="1" customWidth="1"/>
    <col min="8714" max="8949" width="9" style="7"/>
    <col min="8950" max="8950" width="20.88671875" style="7" customWidth="1"/>
    <col min="8951" max="8951" width="27.44140625" style="7" customWidth="1"/>
    <col min="8952" max="8952" width="16.6640625" style="7" customWidth="1"/>
    <col min="8953" max="8953" width="16.44140625" style="7" customWidth="1"/>
    <col min="8954" max="8954" width="15.6640625" style="7" customWidth="1"/>
    <col min="8955" max="8955" width="14" style="7" bestFit="1" customWidth="1"/>
    <col min="8956" max="8956" width="14.33203125" style="7" customWidth="1"/>
    <col min="8957" max="8958" width="10.33203125" style="7" customWidth="1"/>
    <col min="8959" max="8959" width="13.6640625" style="7" bestFit="1" customWidth="1"/>
    <col min="8960" max="8960" width="13.6640625" style="7" customWidth="1"/>
    <col min="8961" max="8965" width="9" style="7"/>
    <col min="8966" max="8968" width="12.109375" style="7" bestFit="1" customWidth="1"/>
    <col min="8969" max="8969" width="12.33203125" style="7" bestFit="1" customWidth="1"/>
    <col min="8970" max="9205" width="9" style="7"/>
    <col min="9206" max="9206" width="20.88671875" style="7" customWidth="1"/>
    <col min="9207" max="9207" width="27.44140625" style="7" customWidth="1"/>
    <col min="9208" max="9208" width="16.6640625" style="7" customWidth="1"/>
    <col min="9209" max="9209" width="16.44140625" style="7" customWidth="1"/>
    <col min="9210" max="9210" width="15.6640625" style="7" customWidth="1"/>
    <col min="9211" max="9211" width="14" style="7" bestFit="1" customWidth="1"/>
    <col min="9212" max="9212" width="14.33203125" style="7" customWidth="1"/>
    <col min="9213" max="9214" width="10.33203125" style="7" customWidth="1"/>
    <col min="9215" max="9215" width="13.6640625" style="7" bestFit="1" customWidth="1"/>
    <col min="9216" max="9216" width="13.6640625" style="7" customWidth="1"/>
    <col min="9217" max="9221" width="9" style="7"/>
    <col min="9222" max="9224" width="12.109375" style="7" bestFit="1" customWidth="1"/>
    <col min="9225" max="9225" width="12.33203125" style="7" bestFit="1" customWidth="1"/>
    <col min="9226" max="9461" width="9" style="7"/>
    <col min="9462" max="9462" width="20.88671875" style="7" customWidth="1"/>
    <col min="9463" max="9463" width="27.44140625" style="7" customWidth="1"/>
    <col min="9464" max="9464" width="16.6640625" style="7" customWidth="1"/>
    <col min="9465" max="9465" width="16.44140625" style="7" customWidth="1"/>
    <col min="9466" max="9466" width="15.6640625" style="7" customWidth="1"/>
    <col min="9467" max="9467" width="14" style="7" bestFit="1" customWidth="1"/>
    <col min="9468" max="9468" width="14.33203125" style="7" customWidth="1"/>
    <col min="9469" max="9470" width="10.33203125" style="7" customWidth="1"/>
    <col min="9471" max="9471" width="13.6640625" style="7" bestFit="1" customWidth="1"/>
    <col min="9472" max="9472" width="13.6640625" style="7" customWidth="1"/>
    <col min="9473" max="9477" width="9" style="7"/>
    <col min="9478" max="9480" width="12.109375" style="7" bestFit="1" customWidth="1"/>
    <col min="9481" max="9481" width="12.33203125" style="7" bestFit="1" customWidth="1"/>
    <col min="9482" max="9717" width="9" style="7"/>
    <col min="9718" max="9718" width="20.88671875" style="7" customWidth="1"/>
    <col min="9719" max="9719" width="27.44140625" style="7" customWidth="1"/>
    <col min="9720" max="9720" width="16.6640625" style="7" customWidth="1"/>
    <col min="9721" max="9721" width="16.44140625" style="7" customWidth="1"/>
    <col min="9722" max="9722" width="15.6640625" style="7" customWidth="1"/>
    <col min="9723" max="9723" width="14" style="7" bestFit="1" customWidth="1"/>
    <col min="9724" max="9724" width="14.33203125" style="7" customWidth="1"/>
    <col min="9725" max="9726" width="10.33203125" style="7" customWidth="1"/>
    <col min="9727" max="9727" width="13.6640625" style="7" bestFit="1" customWidth="1"/>
    <col min="9728" max="9728" width="13.6640625" style="7" customWidth="1"/>
    <col min="9729" max="9733" width="9" style="7"/>
    <col min="9734" max="9736" width="12.109375" style="7" bestFit="1" customWidth="1"/>
    <col min="9737" max="9737" width="12.33203125" style="7" bestFit="1" customWidth="1"/>
    <col min="9738" max="9973" width="9" style="7"/>
    <col min="9974" max="9974" width="20.88671875" style="7" customWidth="1"/>
    <col min="9975" max="9975" width="27.44140625" style="7" customWidth="1"/>
    <col min="9976" max="9976" width="16.6640625" style="7" customWidth="1"/>
    <col min="9977" max="9977" width="16.44140625" style="7" customWidth="1"/>
    <col min="9978" max="9978" width="15.6640625" style="7" customWidth="1"/>
    <col min="9979" max="9979" width="14" style="7" bestFit="1" customWidth="1"/>
    <col min="9980" max="9980" width="14.33203125" style="7" customWidth="1"/>
    <col min="9981" max="9982" width="10.33203125" style="7" customWidth="1"/>
    <col min="9983" max="9983" width="13.6640625" style="7" bestFit="1" customWidth="1"/>
    <col min="9984" max="9984" width="13.6640625" style="7" customWidth="1"/>
    <col min="9985" max="9989" width="9" style="7"/>
    <col min="9990" max="9992" width="12.109375" style="7" bestFit="1" customWidth="1"/>
    <col min="9993" max="9993" width="12.33203125" style="7" bestFit="1" customWidth="1"/>
    <col min="9994" max="10229" width="9" style="7"/>
    <col min="10230" max="10230" width="20.88671875" style="7" customWidth="1"/>
    <col min="10231" max="10231" width="27.44140625" style="7" customWidth="1"/>
    <col min="10232" max="10232" width="16.6640625" style="7" customWidth="1"/>
    <col min="10233" max="10233" width="16.44140625" style="7" customWidth="1"/>
    <col min="10234" max="10234" width="15.6640625" style="7" customWidth="1"/>
    <col min="10235" max="10235" width="14" style="7" bestFit="1" customWidth="1"/>
    <col min="10236" max="10236" width="14.33203125" style="7" customWidth="1"/>
    <col min="10237" max="10238" width="10.33203125" style="7" customWidth="1"/>
    <col min="10239" max="10239" width="13.6640625" style="7" bestFit="1" customWidth="1"/>
    <col min="10240" max="10240" width="13.6640625" style="7" customWidth="1"/>
    <col min="10241" max="10245" width="9" style="7"/>
    <col min="10246" max="10248" width="12.109375" style="7" bestFit="1" customWidth="1"/>
    <col min="10249" max="10249" width="12.33203125" style="7" bestFit="1" customWidth="1"/>
    <col min="10250" max="10485" width="9" style="7"/>
    <col min="10486" max="10486" width="20.88671875" style="7" customWidth="1"/>
    <col min="10487" max="10487" width="27.44140625" style="7" customWidth="1"/>
    <col min="10488" max="10488" width="16.6640625" style="7" customWidth="1"/>
    <col min="10489" max="10489" width="16.44140625" style="7" customWidth="1"/>
    <col min="10490" max="10490" width="15.6640625" style="7" customWidth="1"/>
    <col min="10491" max="10491" width="14" style="7" bestFit="1" customWidth="1"/>
    <col min="10492" max="10492" width="14.33203125" style="7" customWidth="1"/>
    <col min="10493" max="10494" width="10.33203125" style="7" customWidth="1"/>
    <col min="10495" max="10495" width="13.6640625" style="7" bestFit="1" customWidth="1"/>
    <col min="10496" max="10496" width="13.6640625" style="7" customWidth="1"/>
    <col min="10497" max="10501" width="9" style="7"/>
    <col min="10502" max="10504" width="12.109375" style="7" bestFit="1" customWidth="1"/>
    <col min="10505" max="10505" width="12.33203125" style="7" bestFit="1" customWidth="1"/>
    <col min="10506" max="10741" width="9" style="7"/>
    <col min="10742" max="10742" width="20.88671875" style="7" customWidth="1"/>
    <col min="10743" max="10743" width="27.44140625" style="7" customWidth="1"/>
    <col min="10744" max="10744" width="16.6640625" style="7" customWidth="1"/>
    <col min="10745" max="10745" width="16.44140625" style="7" customWidth="1"/>
    <col min="10746" max="10746" width="15.6640625" style="7" customWidth="1"/>
    <col min="10747" max="10747" width="14" style="7" bestFit="1" customWidth="1"/>
    <col min="10748" max="10748" width="14.33203125" style="7" customWidth="1"/>
    <col min="10749" max="10750" width="10.33203125" style="7" customWidth="1"/>
    <col min="10751" max="10751" width="13.6640625" style="7" bestFit="1" customWidth="1"/>
    <col min="10752" max="10752" width="13.6640625" style="7" customWidth="1"/>
    <col min="10753" max="10757" width="9" style="7"/>
    <col min="10758" max="10760" width="12.109375" style="7" bestFit="1" customWidth="1"/>
    <col min="10761" max="10761" width="12.33203125" style="7" bestFit="1" customWidth="1"/>
    <col min="10762" max="10997" width="9" style="7"/>
    <col min="10998" max="10998" width="20.88671875" style="7" customWidth="1"/>
    <col min="10999" max="10999" width="27.44140625" style="7" customWidth="1"/>
    <col min="11000" max="11000" width="16.6640625" style="7" customWidth="1"/>
    <col min="11001" max="11001" width="16.44140625" style="7" customWidth="1"/>
    <col min="11002" max="11002" width="15.6640625" style="7" customWidth="1"/>
    <col min="11003" max="11003" width="14" style="7" bestFit="1" customWidth="1"/>
    <col min="11004" max="11004" width="14.33203125" style="7" customWidth="1"/>
    <col min="11005" max="11006" width="10.33203125" style="7" customWidth="1"/>
    <col min="11007" max="11007" width="13.6640625" style="7" bestFit="1" customWidth="1"/>
    <col min="11008" max="11008" width="13.6640625" style="7" customWidth="1"/>
    <col min="11009" max="11013" width="9" style="7"/>
    <col min="11014" max="11016" width="12.109375" style="7" bestFit="1" customWidth="1"/>
    <col min="11017" max="11017" width="12.33203125" style="7" bestFit="1" customWidth="1"/>
    <col min="11018" max="11253" width="9" style="7"/>
    <col min="11254" max="11254" width="20.88671875" style="7" customWidth="1"/>
    <col min="11255" max="11255" width="27.44140625" style="7" customWidth="1"/>
    <col min="11256" max="11256" width="16.6640625" style="7" customWidth="1"/>
    <col min="11257" max="11257" width="16.44140625" style="7" customWidth="1"/>
    <col min="11258" max="11258" width="15.6640625" style="7" customWidth="1"/>
    <col min="11259" max="11259" width="14" style="7" bestFit="1" customWidth="1"/>
    <col min="11260" max="11260" width="14.33203125" style="7" customWidth="1"/>
    <col min="11261" max="11262" width="10.33203125" style="7" customWidth="1"/>
    <col min="11263" max="11263" width="13.6640625" style="7" bestFit="1" customWidth="1"/>
    <col min="11264" max="11264" width="13.6640625" style="7" customWidth="1"/>
    <col min="11265" max="11269" width="9" style="7"/>
    <col min="11270" max="11272" width="12.109375" style="7" bestFit="1" customWidth="1"/>
    <col min="11273" max="11273" width="12.33203125" style="7" bestFit="1" customWidth="1"/>
    <col min="11274" max="11509" width="9" style="7"/>
    <col min="11510" max="11510" width="20.88671875" style="7" customWidth="1"/>
    <col min="11511" max="11511" width="27.44140625" style="7" customWidth="1"/>
    <col min="11512" max="11512" width="16.6640625" style="7" customWidth="1"/>
    <col min="11513" max="11513" width="16.44140625" style="7" customWidth="1"/>
    <col min="11514" max="11514" width="15.6640625" style="7" customWidth="1"/>
    <col min="11515" max="11515" width="14" style="7" bestFit="1" customWidth="1"/>
    <col min="11516" max="11516" width="14.33203125" style="7" customWidth="1"/>
    <col min="11517" max="11518" width="10.33203125" style="7" customWidth="1"/>
    <col min="11519" max="11519" width="13.6640625" style="7" bestFit="1" customWidth="1"/>
    <col min="11520" max="11520" width="13.6640625" style="7" customWidth="1"/>
    <col min="11521" max="11525" width="9" style="7"/>
    <col min="11526" max="11528" width="12.109375" style="7" bestFit="1" customWidth="1"/>
    <col min="11529" max="11529" width="12.33203125" style="7" bestFit="1" customWidth="1"/>
    <col min="11530" max="11765" width="9" style="7"/>
    <col min="11766" max="11766" width="20.88671875" style="7" customWidth="1"/>
    <col min="11767" max="11767" width="27.44140625" style="7" customWidth="1"/>
    <col min="11768" max="11768" width="16.6640625" style="7" customWidth="1"/>
    <col min="11769" max="11769" width="16.44140625" style="7" customWidth="1"/>
    <col min="11770" max="11770" width="15.6640625" style="7" customWidth="1"/>
    <col min="11771" max="11771" width="14" style="7" bestFit="1" customWidth="1"/>
    <col min="11772" max="11772" width="14.33203125" style="7" customWidth="1"/>
    <col min="11773" max="11774" width="10.33203125" style="7" customWidth="1"/>
    <col min="11775" max="11775" width="13.6640625" style="7" bestFit="1" customWidth="1"/>
    <col min="11776" max="11776" width="13.6640625" style="7" customWidth="1"/>
    <col min="11777" max="11781" width="9" style="7"/>
    <col min="11782" max="11784" width="12.109375" style="7" bestFit="1" customWidth="1"/>
    <col min="11785" max="11785" width="12.33203125" style="7" bestFit="1" customWidth="1"/>
    <col min="11786" max="12021" width="9" style="7"/>
    <col min="12022" max="12022" width="20.88671875" style="7" customWidth="1"/>
    <col min="12023" max="12023" width="27.44140625" style="7" customWidth="1"/>
    <col min="12024" max="12024" width="16.6640625" style="7" customWidth="1"/>
    <col min="12025" max="12025" width="16.44140625" style="7" customWidth="1"/>
    <col min="12026" max="12026" width="15.6640625" style="7" customWidth="1"/>
    <col min="12027" max="12027" width="14" style="7" bestFit="1" customWidth="1"/>
    <col min="12028" max="12028" width="14.33203125" style="7" customWidth="1"/>
    <col min="12029" max="12030" width="10.33203125" style="7" customWidth="1"/>
    <col min="12031" max="12031" width="13.6640625" style="7" bestFit="1" customWidth="1"/>
    <col min="12032" max="12032" width="13.6640625" style="7" customWidth="1"/>
    <col min="12033" max="12037" width="9" style="7"/>
    <col min="12038" max="12040" width="12.109375" style="7" bestFit="1" customWidth="1"/>
    <col min="12041" max="12041" width="12.33203125" style="7" bestFit="1" customWidth="1"/>
    <col min="12042" max="12277" width="9" style="7"/>
    <col min="12278" max="12278" width="20.88671875" style="7" customWidth="1"/>
    <col min="12279" max="12279" width="27.44140625" style="7" customWidth="1"/>
    <col min="12280" max="12280" width="16.6640625" style="7" customWidth="1"/>
    <col min="12281" max="12281" width="16.44140625" style="7" customWidth="1"/>
    <col min="12282" max="12282" width="15.6640625" style="7" customWidth="1"/>
    <col min="12283" max="12283" width="14" style="7" bestFit="1" customWidth="1"/>
    <col min="12284" max="12284" width="14.33203125" style="7" customWidth="1"/>
    <col min="12285" max="12286" width="10.33203125" style="7" customWidth="1"/>
    <col min="12287" max="12287" width="13.6640625" style="7" bestFit="1" customWidth="1"/>
    <col min="12288" max="12288" width="13.6640625" style="7" customWidth="1"/>
    <col min="12289" max="12293" width="9" style="7"/>
    <col min="12294" max="12296" width="12.109375" style="7" bestFit="1" customWidth="1"/>
    <col min="12297" max="12297" width="12.33203125" style="7" bestFit="1" customWidth="1"/>
    <col min="12298" max="12533" width="9" style="7"/>
    <col min="12534" max="12534" width="20.88671875" style="7" customWidth="1"/>
    <col min="12535" max="12535" width="27.44140625" style="7" customWidth="1"/>
    <col min="12536" max="12536" width="16.6640625" style="7" customWidth="1"/>
    <col min="12537" max="12537" width="16.44140625" style="7" customWidth="1"/>
    <col min="12538" max="12538" width="15.6640625" style="7" customWidth="1"/>
    <col min="12539" max="12539" width="14" style="7" bestFit="1" customWidth="1"/>
    <col min="12540" max="12540" width="14.33203125" style="7" customWidth="1"/>
    <col min="12541" max="12542" width="10.33203125" style="7" customWidth="1"/>
    <col min="12543" max="12543" width="13.6640625" style="7" bestFit="1" customWidth="1"/>
    <col min="12544" max="12544" width="13.6640625" style="7" customWidth="1"/>
    <col min="12545" max="12549" width="9" style="7"/>
    <col min="12550" max="12552" width="12.109375" style="7" bestFit="1" customWidth="1"/>
    <col min="12553" max="12553" width="12.33203125" style="7" bestFit="1" customWidth="1"/>
    <col min="12554" max="12789" width="9" style="7"/>
    <col min="12790" max="12790" width="20.88671875" style="7" customWidth="1"/>
    <col min="12791" max="12791" width="27.44140625" style="7" customWidth="1"/>
    <col min="12792" max="12792" width="16.6640625" style="7" customWidth="1"/>
    <col min="12793" max="12793" width="16.44140625" style="7" customWidth="1"/>
    <col min="12794" max="12794" width="15.6640625" style="7" customWidth="1"/>
    <col min="12795" max="12795" width="14" style="7" bestFit="1" customWidth="1"/>
    <col min="12796" max="12796" width="14.33203125" style="7" customWidth="1"/>
    <col min="12797" max="12798" width="10.33203125" style="7" customWidth="1"/>
    <col min="12799" max="12799" width="13.6640625" style="7" bestFit="1" customWidth="1"/>
    <col min="12800" max="12800" width="13.6640625" style="7" customWidth="1"/>
    <col min="12801" max="12805" width="9" style="7"/>
    <col min="12806" max="12808" width="12.109375" style="7" bestFit="1" customWidth="1"/>
    <col min="12809" max="12809" width="12.33203125" style="7" bestFit="1" customWidth="1"/>
    <col min="12810" max="13045" width="9" style="7"/>
    <col min="13046" max="13046" width="20.88671875" style="7" customWidth="1"/>
    <col min="13047" max="13047" width="27.44140625" style="7" customWidth="1"/>
    <col min="13048" max="13048" width="16.6640625" style="7" customWidth="1"/>
    <col min="13049" max="13049" width="16.44140625" style="7" customWidth="1"/>
    <col min="13050" max="13050" width="15.6640625" style="7" customWidth="1"/>
    <col min="13051" max="13051" width="14" style="7" bestFit="1" customWidth="1"/>
    <col min="13052" max="13052" width="14.33203125" style="7" customWidth="1"/>
    <col min="13053" max="13054" width="10.33203125" style="7" customWidth="1"/>
    <col min="13055" max="13055" width="13.6640625" style="7" bestFit="1" customWidth="1"/>
    <col min="13056" max="13056" width="13.6640625" style="7" customWidth="1"/>
    <col min="13057" max="13061" width="9" style="7"/>
    <col min="13062" max="13064" width="12.109375" style="7" bestFit="1" customWidth="1"/>
    <col min="13065" max="13065" width="12.33203125" style="7" bestFit="1" customWidth="1"/>
    <col min="13066" max="13301" width="9" style="7"/>
    <col min="13302" max="13302" width="20.88671875" style="7" customWidth="1"/>
    <col min="13303" max="13303" width="27.44140625" style="7" customWidth="1"/>
    <col min="13304" max="13304" width="16.6640625" style="7" customWidth="1"/>
    <col min="13305" max="13305" width="16.44140625" style="7" customWidth="1"/>
    <col min="13306" max="13306" width="15.6640625" style="7" customWidth="1"/>
    <col min="13307" max="13307" width="14" style="7" bestFit="1" customWidth="1"/>
    <col min="13308" max="13308" width="14.33203125" style="7" customWidth="1"/>
    <col min="13309" max="13310" width="10.33203125" style="7" customWidth="1"/>
    <col min="13311" max="13311" width="13.6640625" style="7" bestFit="1" customWidth="1"/>
    <col min="13312" max="13312" width="13.6640625" style="7" customWidth="1"/>
    <col min="13313" max="13317" width="9" style="7"/>
    <col min="13318" max="13320" width="12.109375" style="7" bestFit="1" customWidth="1"/>
    <col min="13321" max="13321" width="12.33203125" style="7" bestFit="1" customWidth="1"/>
    <col min="13322" max="13557" width="9" style="7"/>
    <col min="13558" max="13558" width="20.88671875" style="7" customWidth="1"/>
    <col min="13559" max="13559" width="27.44140625" style="7" customWidth="1"/>
    <col min="13560" max="13560" width="16.6640625" style="7" customWidth="1"/>
    <col min="13561" max="13561" width="16.44140625" style="7" customWidth="1"/>
    <col min="13562" max="13562" width="15.6640625" style="7" customWidth="1"/>
    <col min="13563" max="13563" width="14" style="7" bestFit="1" customWidth="1"/>
    <col min="13564" max="13564" width="14.33203125" style="7" customWidth="1"/>
    <col min="13565" max="13566" width="10.33203125" style="7" customWidth="1"/>
    <col min="13567" max="13567" width="13.6640625" style="7" bestFit="1" customWidth="1"/>
    <col min="13568" max="13568" width="13.6640625" style="7" customWidth="1"/>
    <col min="13569" max="13573" width="9" style="7"/>
    <col min="13574" max="13576" width="12.109375" style="7" bestFit="1" customWidth="1"/>
    <col min="13577" max="13577" width="12.33203125" style="7" bestFit="1" customWidth="1"/>
    <col min="13578" max="13813" width="9" style="7"/>
    <col min="13814" max="13814" width="20.88671875" style="7" customWidth="1"/>
    <col min="13815" max="13815" width="27.44140625" style="7" customWidth="1"/>
    <col min="13816" max="13816" width="16.6640625" style="7" customWidth="1"/>
    <col min="13817" max="13817" width="16.44140625" style="7" customWidth="1"/>
    <col min="13818" max="13818" width="15.6640625" style="7" customWidth="1"/>
    <col min="13819" max="13819" width="14" style="7" bestFit="1" customWidth="1"/>
    <col min="13820" max="13820" width="14.33203125" style="7" customWidth="1"/>
    <col min="13821" max="13822" width="10.33203125" style="7" customWidth="1"/>
    <col min="13823" max="13823" width="13.6640625" style="7" bestFit="1" customWidth="1"/>
    <col min="13824" max="13824" width="13.6640625" style="7" customWidth="1"/>
    <col min="13825" max="13829" width="9" style="7"/>
    <col min="13830" max="13832" width="12.109375" style="7" bestFit="1" customWidth="1"/>
    <col min="13833" max="13833" width="12.33203125" style="7" bestFit="1" customWidth="1"/>
    <col min="13834" max="14069" width="9" style="7"/>
    <col min="14070" max="14070" width="20.88671875" style="7" customWidth="1"/>
    <col min="14071" max="14071" width="27.44140625" style="7" customWidth="1"/>
    <col min="14072" max="14072" width="16.6640625" style="7" customWidth="1"/>
    <col min="14073" max="14073" width="16.44140625" style="7" customWidth="1"/>
    <col min="14074" max="14074" width="15.6640625" style="7" customWidth="1"/>
    <col min="14075" max="14075" width="14" style="7" bestFit="1" customWidth="1"/>
    <col min="14076" max="14076" width="14.33203125" style="7" customWidth="1"/>
    <col min="14077" max="14078" width="10.33203125" style="7" customWidth="1"/>
    <col min="14079" max="14079" width="13.6640625" style="7" bestFit="1" customWidth="1"/>
    <col min="14080" max="14080" width="13.6640625" style="7" customWidth="1"/>
    <col min="14081" max="14085" width="9" style="7"/>
    <col min="14086" max="14088" width="12.109375" style="7" bestFit="1" customWidth="1"/>
    <col min="14089" max="14089" width="12.33203125" style="7" bestFit="1" customWidth="1"/>
    <col min="14090" max="14325" width="9" style="7"/>
    <col min="14326" max="14326" width="20.88671875" style="7" customWidth="1"/>
    <col min="14327" max="14327" width="27.44140625" style="7" customWidth="1"/>
    <col min="14328" max="14328" width="16.6640625" style="7" customWidth="1"/>
    <col min="14329" max="14329" width="16.44140625" style="7" customWidth="1"/>
    <col min="14330" max="14330" width="15.6640625" style="7" customWidth="1"/>
    <col min="14331" max="14331" width="14" style="7" bestFit="1" customWidth="1"/>
    <col min="14332" max="14332" width="14.33203125" style="7" customWidth="1"/>
    <col min="14333" max="14334" width="10.33203125" style="7" customWidth="1"/>
    <col min="14335" max="14335" width="13.6640625" style="7" bestFit="1" customWidth="1"/>
    <col min="14336" max="14336" width="13.6640625" style="7" customWidth="1"/>
    <col min="14337" max="14341" width="9" style="7"/>
    <col min="14342" max="14344" width="12.109375" style="7" bestFit="1" customWidth="1"/>
    <col min="14345" max="14345" width="12.33203125" style="7" bestFit="1" customWidth="1"/>
    <col min="14346" max="14581" width="9" style="7"/>
    <col min="14582" max="14582" width="20.88671875" style="7" customWidth="1"/>
    <col min="14583" max="14583" width="27.44140625" style="7" customWidth="1"/>
    <col min="14584" max="14584" width="16.6640625" style="7" customWidth="1"/>
    <col min="14585" max="14585" width="16.44140625" style="7" customWidth="1"/>
    <col min="14586" max="14586" width="15.6640625" style="7" customWidth="1"/>
    <col min="14587" max="14587" width="14" style="7" bestFit="1" customWidth="1"/>
    <col min="14588" max="14588" width="14.33203125" style="7" customWidth="1"/>
    <col min="14589" max="14590" width="10.33203125" style="7" customWidth="1"/>
    <col min="14591" max="14591" width="13.6640625" style="7" bestFit="1" customWidth="1"/>
    <col min="14592" max="14592" width="13.6640625" style="7" customWidth="1"/>
    <col min="14593" max="14597" width="9" style="7"/>
    <col min="14598" max="14600" width="12.109375" style="7" bestFit="1" customWidth="1"/>
    <col min="14601" max="14601" width="12.33203125" style="7" bestFit="1" customWidth="1"/>
    <col min="14602" max="14837" width="9" style="7"/>
    <col min="14838" max="14838" width="20.88671875" style="7" customWidth="1"/>
    <col min="14839" max="14839" width="27.44140625" style="7" customWidth="1"/>
    <col min="14840" max="14840" width="16.6640625" style="7" customWidth="1"/>
    <col min="14841" max="14841" width="16.44140625" style="7" customWidth="1"/>
    <col min="14842" max="14842" width="15.6640625" style="7" customWidth="1"/>
    <col min="14843" max="14843" width="14" style="7" bestFit="1" customWidth="1"/>
    <col min="14844" max="14844" width="14.33203125" style="7" customWidth="1"/>
    <col min="14845" max="14846" width="10.33203125" style="7" customWidth="1"/>
    <col min="14847" max="14847" width="13.6640625" style="7" bestFit="1" customWidth="1"/>
    <col min="14848" max="14848" width="13.6640625" style="7" customWidth="1"/>
    <col min="14849" max="14853" width="9" style="7"/>
    <col min="14854" max="14856" width="12.109375" style="7" bestFit="1" customWidth="1"/>
    <col min="14857" max="14857" width="12.33203125" style="7" bestFit="1" customWidth="1"/>
    <col min="14858" max="15093" width="9" style="7"/>
    <col min="15094" max="15094" width="20.88671875" style="7" customWidth="1"/>
    <col min="15095" max="15095" width="27.44140625" style="7" customWidth="1"/>
    <col min="15096" max="15096" width="16.6640625" style="7" customWidth="1"/>
    <col min="15097" max="15097" width="16.44140625" style="7" customWidth="1"/>
    <col min="15098" max="15098" width="15.6640625" style="7" customWidth="1"/>
    <col min="15099" max="15099" width="14" style="7" bestFit="1" customWidth="1"/>
    <col min="15100" max="15100" width="14.33203125" style="7" customWidth="1"/>
    <col min="15101" max="15102" width="10.33203125" style="7" customWidth="1"/>
    <col min="15103" max="15103" width="13.6640625" style="7" bestFit="1" customWidth="1"/>
    <col min="15104" max="15104" width="13.6640625" style="7" customWidth="1"/>
    <col min="15105" max="15109" width="9" style="7"/>
    <col min="15110" max="15112" width="12.109375" style="7" bestFit="1" customWidth="1"/>
    <col min="15113" max="15113" width="12.33203125" style="7" bestFit="1" customWidth="1"/>
    <col min="15114" max="15349" width="9" style="7"/>
    <col min="15350" max="15350" width="20.88671875" style="7" customWidth="1"/>
    <col min="15351" max="15351" width="27.44140625" style="7" customWidth="1"/>
    <col min="15352" max="15352" width="16.6640625" style="7" customWidth="1"/>
    <col min="15353" max="15353" width="16.44140625" style="7" customWidth="1"/>
    <col min="15354" max="15354" width="15.6640625" style="7" customWidth="1"/>
    <col min="15355" max="15355" width="14" style="7" bestFit="1" customWidth="1"/>
    <col min="15356" max="15356" width="14.33203125" style="7" customWidth="1"/>
    <col min="15357" max="15358" width="10.33203125" style="7" customWidth="1"/>
    <col min="15359" max="15359" width="13.6640625" style="7" bestFit="1" customWidth="1"/>
    <col min="15360" max="15360" width="13.6640625" style="7" customWidth="1"/>
    <col min="15361" max="15365" width="9" style="7"/>
    <col min="15366" max="15368" width="12.109375" style="7" bestFit="1" customWidth="1"/>
    <col min="15369" max="15369" width="12.33203125" style="7" bestFit="1" customWidth="1"/>
    <col min="15370" max="15605" width="9" style="7"/>
    <col min="15606" max="15606" width="20.88671875" style="7" customWidth="1"/>
    <col min="15607" max="15607" width="27.44140625" style="7" customWidth="1"/>
    <col min="15608" max="15608" width="16.6640625" style="7" customWidth="1"/>
    <col min="15609" max="15609" width="16.44140625" style="7" customWidth="1"/>
    <col min="15610" max="15610" width="15.6640625" style="7" customWidth="1"/>
    <col min="15611" max="15611" width="14" style="7" bestFit="1" customWidth="1"/>
    <col min="15612" max="15612" width="14.33203125" style="7" customWidth="1"/>
    <col min="15613" max="15614" width="10.33203125" style="7" customWidth="1"/>
    <col min="15615" max="15615" width="13.6640625" style="7" bestFit="1" customWidth="1"/>
    <col min="15616" max="15616" width="13.6640625" style="7" customWidth="1"/>
    <col min="15617" max="15621" width="9" style="7"/>
    <col min="15622" max="15624" width="12.109375" style="7" bestFit="1" customWidth="1"/>
    <col min="15625" max="15625" width="12.33203125" style="7" bestFit="1" customWidth="1"/>
    <col min="15626" max="15861" width="9" style="7"/>
    <col min="15862" max="15862" width="20.88671875" style="7" customWidth="1"/>
    <col min="15863" max="15863" width="27.44140625" style="7" customWidth="1"/>
    <col min="15864" max="15864" width="16.6640625" style="7" customWidth="1"/>
    <col min="15865" max="15865" width="16.44140625" style="7" customWidth="1"/>
    <col min="15866" max="15866" width="15.6640625" style="7" customWidth="1"/>
    <col min="15867" max="15867" width="14" style="7" bestFit="1" customWidth="1"/>
    <col min="15868" max="15868" width="14.33203125" style="7" customWidth="1"/>
    <col min="15869" max="15870" width="10.33203125" style="7" customWidth="1"/>
    <col min="15871" max="15871" width="13.6640625" style="7" bestFit="1" customWidth="1"/>
    <col min="15872" max="15872" width="13.6640625" style="7" customWidth="1"/>
    <col min="15873" max="15877" width="9" style="7"/>
    <col min="15878" max="15880" width="12.109375" style="7" bestFit="1" customWidth="1"/>
    <col min="15881" max="15881" width="12.33203125" style="7" bestFit="1" customWidth="1"/>
    <col min="15882" max="16117" width="9" style="7"/>
    <col min="16118" max="16118" width="20.88671875" style="7" customWidth="1"/>
    <col min="16119" max="16119" width="27.44140625" style="7" customWidth="1"/>
    <col min="16120" max="16120" width="16.6640625" style="7" customWidth="1"/>
    <col min="16121" max="16121" width="16.44140625" style="7" customWidth="1"/>
    <col min="16122" max="16122" width="15.6640625" style="7" customWidth="1"/>
    <col min="16123" max="16123" width="14" style="7" bestFit="1" customWidth="1"/>
    <col min="16124" max="16124" width="14.33203125" style="7" customWidth="1"/>
    <col min="16125" max="16126" width="10.33203125" style="7" customWidth="1"/>
    <col min="16127" max="16127" width="13.6640625" style="7" bestFit="1" customWidth="1"/>
    <col min="16128" max="16128" width="13.6640625" style="7" customWidth="1"/>
    <col min="16129" max="16133" width="9" style="7"/>
    <col min="16134" max="16136" width="12.109375" style="7" bestFit="1" customWidth="1"/>
    <col min="16137" max="16137" width="12.33203125" style="7" bestFit="1" customWidth="1"/>
    <col min="16138" max="16372" width="9" style="7"/>
    <col min="16373" max="16384" width="8.88671875" style="7" customWidth="1"/>
  </cols>
  <sheetData>
    <row r="1" spans="2:8" s="5" customFormat="1" ht="16.2" x14ac:dyDescent="0.2">
      <c r="B1" s="6" t="s">
        <v>222</v>
      </c>
    </row>
    <row r="2" spans="2:8" s="5" customFormat="1" ht="8.1" customHeight="1" x14ac:dyDescent="0.2">
      <c r="B2" s="6"/>
    </row>
    <row r="3" spans="2:8" s="5" customFormat="1" ht="16.2" x14ac:dyDescent="0.2">
      <c r="B3" s="6"/>
      <c r="C3" s="44"/>
      <c r="D3" s="5" t="s">
        <v>313</v>
      </c>
    </row>
    <row r="4" spans="2:8" s="5" customFormat="1" ht="16.2" x14ac:dyDescent="0.2">
      <c r="B4" s="6"/>
      <c r="C4" s="60"/>
      <c r="D4" s="5" t="s">
        <v>240</v>
      </c>
    </row>
    <row r="5" spans="2:8" s="5" customFormat="1" ht="8.1" customHeight="1" x14ac:dyDescent="0.2">
      <c r="B5" s="6"/>
    </row>
    <row r="6" spans="2:8" s="5" customFormat="1" ht="30" customHeight="1" x14ac:dyDescent="0.2">
      <c r="B6" s="254" t="s">
        <v>108</v>
      </c>
      <c r="C6" s="255"/>
      <c r="D6" s="255"/>
      <c r="E6" s="255"/>
      <c r="F6" s="255"/>
      <c r="G6" s="256"/>
    </row>
    <row r="7" spans="2:8" s="5" customFormat="1" ht="97.5" customHeight="1" x14ac:dyDescent="0.2">
      <c r="B7" s="257" t="s">
        <v>114</v>
      </c>
      <c r="C7" s="258"/>
      <c r="D7" s="258"/>
      <c r="E7" s="258"/>
      <c r="F7" s="258"/>
      <c r="G7" s="259"/>
    </row>
    <row r="8" spans="2:8" s="5" customFormat="1" ht="15" customHeight="1" x14ac:dyDescent="0.2">
      <c r="B8" s="128"/>
      <c r="C8" s="128"/>
      <c r="D8" s="128"/>
      <c r="E8" s="128"/>
      <c r="F8" s="128"/>
      <c r="G8" s="128"/>
    </row>
    <row r="9" spans="2:8" ht="15" customHeight="1" x14ac:dyDescent="0.2">
      <c r="B9" s="5" t="s">
        <v>12</v>
      </c>
      <c r="C9" s="10"/>
      <c r="D9" s="9"/>
      <c r="E9" s="7"/>
      <c r="F9" s="7"/>
    </row>
    <row r="10" spans="2:8" ht="15" customHeight="1" x14ac:dyDescent="0.2">
      <c r="B10" s="247" t="s">
        <v>63</v>
      </c>
      <c r="C10" s="247" t="s">
        <v>106</v>
      </c>
      <c r="D10" s="247"/>
      <c r="E10" s="247"/>
      <c r="F10" s="261" t="s">
        <v>111</v>
      </c>
      <c r="G10" s="262"/>
    </row>
    <row r="11" spans="2:8" ht="15" customHeight="1" x14ac:dyDescent="0.2">
      <c r="B11" s="247"/>
      <c r="C11" s="91" t="s">
        <v>13</v>
      </c>
      <c r="D11" s="91" t="s">
        <v>14</v>
      </c>
      <c r="E11" s="91" t="s">
        <v>15</v>
      </c>
      <c r="F11" s="263"/>
      <c r="G11" s="264"/>
    </row>
    <row r="12" spans="2:8" ht="15" customHeight="1" x14ac:dyDescent="0.2">
      <c r="B12" s="129" t="s">
        <v>29</v>
      </c>
      <c r="C12" s="265">
        <v>10</v>
      </c>
      <c r="D12" s="266"/>
      <c r="E12" s="267"/>
      <c r="F12" s="260" t="s">
        <v>112</v>
      </c>
      <c r="G12" s="260"/>
      <c r="H12" s="130"/>
    </row>
    <row r="13" spans="2:8" ht="45" customHeight="1" x14ac:dyDescent="0.2">
      <c r="B13" s="131" t="s">
        <v>173</v>
      </c>
      <c r="C13" s="96">
        <v>0.1</v>
      </c>
      <c r="D13" s="96">
        <v>0.2</v>
      </c>
      <c r="E13" s="96">
        <v>0.4</v>
      </c>
      <c r="F13" s="260" t="s">
        <v>113</v>
      </c>
      <c r="G13" s="260"/>
      <c r="H13" s="130"/>
    </row>
    <row r="14" spans="2:8" ht="15" customHeight="1" x14ac:dyDescent="0.2">
      <c r="B14" s="7" t="s">
        <v>110</v>
      </c>
    </row>
    <row r="15" spans="2:8" ht="15" customHeight="1" x14ac:dyDescent="0.2">
      <c r="B15" s="8"/>
      <c r="E15" s="7"/>
      <c r="F15" s="7"/>
    </row>
    <row r="16" spans="2:8" ht="15" customHeight="1" x14ac:dyDescent="0.2">
      <c r="B16" s="248" t="s">
        <v>11</v>
      </c>
      <c r="C16" s="249"/>
      <c r="D16" s="248" t="s">
        <v>96</v>
      </c>
      <c r="E16" s="250"/>
      <c r="F16" s="250"/>
      <c r="G16" s="249"/>
    </row>
    <row r="17" spans="2:7" ht="15" customHeight="1" x14ac:dyDescent="0.2">
      <c r="B17" s="131" t="s">
        <v>28</v>
      </c>
      <c r="C17" s="131">
        <v>10</v>
      </c>
      <c r="D17" s="251" t="s">
        <v>110</v>
      </c>
      <c r="E17" s="251"/>
      <c r="F17" s="251"/>
      <c r="G17" s="251"/>
    </row>
    <row r="18" spans="2:7" ht="28.8" x14ac:dyDescent="0.2">
      <c r="B18" s="133" t="s">
        <v>71</v>
      </c>
      <c r="C18" s="133">
        <v>1.5</v>
      </c>
      <c r="D18" s="251"/>
      <c r="E18" s="251"/>
      <c r="F18" s="251"/>
      <c r="G18" s="251"/>
    </row>
    <row r="19" spans="2:7" ht="15" customHeight="1" x14ac:dyDescent="0.2">
      <c r="B19" s="133" t="s">
        <v>18</v>
      </c>
      <c r="C19" s="140">
        <f>2/3</f>
        <v>0.66666666666666663</v>
      </c>
      <c r="D19" s="251"/>
      <c r="E19" s="251"/>
      <c r="F19" s="251"/>
      <c r="G19" s="251"/>
    </row>
    <row r="20" spans="2:7" ht="15" customHeight="1" x14ac:dyDescent="0.2">
      <c r="F20" s="141" t="s">
        <v>49</v>
      </c>
      <c r="G20" s="142" t="s">
        <v>331</v>
      </c>
    </row>
    <row r="21" spans="2:7" ht="15" customHeight="1" x14ac:dyDescent="0.2">
      <c r="B21" s="252" t="s">
        <v>332</v>
      </c>
      <c r="C21" s="252"/>
      <c r="D21" s="253"/>
      <c r="E21" s="11" t="s">
        <v>166</v>
      </c>
      <c r="F21" s="149">
        <f>IF(入力用シート!D41-入力用シート!D39*10&gt;0,入力用シート!D41-入力用シート!D39*10,"－")</f>
        <v>33549</v>
      </c>
      <c r="G21" s="148">
        <f>IF(F21="-","-",F21*C18*C19)</f>
        <v>33549</v>
      </c>
    </row>
    <row r="22" spans="2:7" ht="15" customHeight="1" x14ac:dyDescent="0.2">
      <c r="B22" s="303" t="s">
        <v>540</v>
      </c>
      <c r="C22" s="303"/>
      <c r="D22" s="303"/>
      <c r="E22" s="11" t="s">
        <v>221</v>
      </c>
      <c r="F22" s="150">
        <f>F21*IF(ISNUMBER(入力用シート!D43)=TRUE,入力用シート!D43/100,入力用シート!D42/入力用シート!D40)</f>
        <v>320.33565919941236</v>
      </c>
      <c r="G22" s="148">
        <f>G21*IF(ISNUMBER(入力用シート!D43)=TRUE,入力用シート!D43/100,入力用シート!D42/入力用シート!D40)</f>
        <v>320.33565919941236</v>
      </c>
    </row>
    <row r="23" spans="2:7" ht="15" customHeight="1" x14ac:dyDescent="0.2">
      <c r="B23" s="134" t="s">
        <v>169</v>
      </c>
      <c r="C23" s="135"/>
      <c r="D23" s="135"/>
      <c r="E23" s="135"/>
      <c r="F23" s="136"/>
    </row>
    <row r="24" spans="2:7" ht="15" customHeight="1" x14ac:dyDescent="0.2">
      <c r="B24" s="243" t="s">
        <v>329</v>
      </c>
      <c r="C24" s="301" t="s">
        <v>532</v>
      </c>
      <c r="D24" s="302" t="s">
        <v>13</v>
      </c>
      <c r="E24" s="12" t="s">
        <v>159</v>
      </c>
      <c r="F24" s="304"/>
      <c r="G24" s="152">
        <f>IF($F$21="－","－",ROUNDDOWN(入力用シート!D40*$C$13*入力用シート!$D$51,-2))</f>
        <v>3600</v>
      </c>
    </row>
    <row r="25" spans="2:7" ht="15" customHeight="1" x14ac:dyDescent="0.2">
      <c r="B25" s="243"/>
      <c r="C25" s="301"/>
      <c r="D25" s="302" t="s">
        <v>14</v>
      </c>
      <c r="E25" s="12" t="s">
        <v>160</v>
      </c>
      <c r="F25" s="304"/>
      <c r="G25" s="152">
        <f>IF($F$21="－","－",ROUNDDOWN(入力用シート!D40*$D$13*入力用シート!$D$51,-2))</f>
        <v>7300</v>
      </c>
    </row>
    <row r="26" spans="2:7" ht="15" customHeight="1" x14ac:dyDescent="0.2">
      <c r="B26" s="243"/>
      <c r="C26" s="301"/>
      <c r="D26" s="302" t="s">
        <v>15</v>
      </c>
      <c r="E26" s="12" t="s">
        <v>161</v>
      </c>
      <c r="F26" s="304"/>
      <c r="G26" s="152">
        <f>IF($F$21="－","－",ROUNDDOWN(入力用シート!D40*$E$13*入力用シート!$D$51,-2))</f>
        <v>14700</v>
      </c>
    </row>
    <row r="27" spans="2:7" ht="15" customHeight="1" x14ac:dyDescent="0.2">
      <c r="B27" s="243"/>
      <c r="C27" s="243" t="s">
        <v>72</v>
      </c>
      <c r="D27" s="243"/>
      <c r="E27" s="12" t="s">
        <v>162</v>
      </c>
      <c r="F27" s="304"/>
      <c r="G27" s="152">
        <f>IF($F$21="－","－",ROUNDDOWN($G$21,-2))</f>
        <v>33500</v>
      </c>
    </row>
    <row r="28" spans="2:7" ht="15" customHeight="1" x14ac:dyDescent="0.2">
      <c r="B28" s="137" t="s">
        <v>170</v>
      </c>
      <c r="C28" s="138"/>
      <c r="D28" s="138"/>
      <c r="E28" s="138"/>
      <c r="F28" s="305"/>
      <c r="G28" s="305"/>
    </row>
    <row r="29" spans="2:7" ht="15" customHeight="1" x14ac:dyDescent="0.2">
      <c r="B29" s="243" t="s">
        <v>330</v>
      </c>
      <c r="C29" s="301" t="s">
        <v>532</v>
      </c>
      <c r="D29" s="12" t="s">
        <v>13</v>
      </c>
      <c r="E29" s="12" t="s">
        <v>152</v>
      </c>
      <c r="F29" s="304"/>
      <c r="G29" s="152">
        <f>IF($F$21="－","－",ROUNDDOWN(入力用シート!D42*$C$13*入力用シート!$D$51,-2))</f>
        <v>0</v>
      </c>
    </row>
    <row r="30" spans="2:7" ht="15" customHeight="1" x14ac:dyDescent="0.2">
      <c r="B30" s="243"/>
      <c r="C30" s="301"/>
      <c r="D30" s="12" t="s">
        <v>14</v>
      </c>
      <c r="E30" s="12" t="s">
        <v>153</v>
      </c>
      <c r="F30" s="304"/>
      <c r="G30" s="152">
        <f>IF($F$21="－","－",ROUNDDOWN(入力用シート!D42*$D$13*入力用シート!$D$51,-2))</f>
        <v>0</v>
      </c>
    </row>
    <row r="31" spans="2:7" ht="15" customHeight="1" x14ac:dyDescent="0.2">
      <c r="B31" s="243"/>
      <c r="C31" s="301"/>
      <c r="D31" s="12" t="s">
        <v>15</v>
      </c>
      <c r="E31" s="12" t="s">
        <v>154</v>
      </c>
      <c r="F31" s="304"/>
      <c r="G31" s="152">
        <f>IF($F$21="－","－",ROUNDDOWN(入力用シート!D42*$E$13*入力用シート!$D$51,-2))</f>
        <v>100</v>
      </c>
    </row>
    <row r="32" spans="2:7" ht="15" customHeight="1" x14ac:dyDescent="0.2">
      <c r="B32" s="243"/>
      <c r="C32" s="243" t="s">
        <v>72</v>
      </c>
      <c r="D32" s="243"/>
      <c r="E32" s="12" t="s">
        <v>155</v>
      </c>
      <c r="F32" s="304"/>
      <c r="G32" s="152">
        <f>IF($F$21="－","－",ROUNDDOWN($G$22,-2))</f>
        <v>300</v>
      </c>
    </row>
    <row r="33" spans="2:7" ht="13.5" customHeight="1" x14ac:dyDescent="0.2">
      <c r="F33" s="306"/>
      <c r="G33" s="307"/>
    </row>
    <row r="34" spans="2:7" ht="13.5" customHeight="1" x14ac:dyDescent="0.2">
      <c r="B34"/>
      <c r="C34"/>
      <c r="G34" s="307"/>
    </row>
    <row r="35" spans="2:7" ht="13.5" customHeight="1" x14ac:dyDescent="0.2">
      <c r="B35"/>
      <c r="C35"/>
      <c r="G35" s="307"/>
    </row>
    <row r="36" spans="2:7" ht="13.5" customHeight="1" x14ac:dyDescent="0.2">
      <c r="G36" s="307"/>
    </row>
  </sheetData>
  <mergeCells count="19">
    <mergeCell ref="B6:G6"/>
    <mergeCell ref="B7:G7"/>
    <mergeCell ref="F13:G13"/>
    <mergeCell ref="F12:G12"/>
    <mergeCell ref="B10:B11"/>
    <mergeCell ref="C10:E10"/>
    <mergeCell ref="F10:G11"/>
    <mergeCell ref="C12:E12"/>
    <mergeCell ref="B29:B32"/>
    <mergeCell ref="C29:C31"/>
    <mergeCell ref="C32:D32"/>
    <mergeCell ref="B16:C16"/>
    <mergeCell ref="D16:G16"/>
    <mergeCell ref="D17:G19"/>
    <mergeCell ref="B21:D21"/>
    <mergeCell ref="B24:B27"/>
    <mergeCell ref="C24:C26"/>
    <mergeCell ref="C27:D27"/>
    <mergeCell ref="B22:D22"/>
  </mergeCells>
  <phoneticPr fontId="2"/>
  <pageMargins left="0.51181102362204722" right="0.51181102362204722" top="0.98425196850393704" bottom="0.70866141732283472" header="0.70866141732283472" footer="0.7086614173228347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50"/>
  <sheetViews>
    <sheetView showGridLines="0" view="pageBreakPreview" zoomScaleNormal="115" zoomScaleSheetLayoutView="100" workbookViewId="0"/>
  </sheetViews>
  <sheetFormatPr defaultColWidth="9.109375" defaultRowHeight="13.2" x14ac:dyDescent="0.2"/>
  <cols>
    <col min="1" max="2" width="16.33203125" style="3" customWidth="1"/>
    <col min="3" max="3" width="14" style="3" customWidth="1"/>
    <col min="4" max="4" width="11.33203125" style="3" customWidth="1"/>
    <col min="5" max="6" width="11.21875" style="3" bestFit="1" customWidth="1"/>
    <col min="7" max="16384" width="9.109375" style="3"/>
  </cols>
  <sheetData>
    <row r="1" spans="1:4" ht="14.25" customHeight="1" x14ac:dyDescent="0.2">
      <c r="A1" s="14" t="str">
        <f>入力用シート!D8</f>
        <v>Ｔ平野断層帯地震</v>
      </c>
      <c r="B1" s="2"/>
      <c r="C1" s="2"/>
    </row>
    <row r="2" spans="1:4" ht="5.0999999999999996" customHeight="1" x14ac:dyDescent="0.2">
      <c r="A2" s="14"/>
      <c r="B2" s="2"/>
      <c r="C2" s="2"/>
    </row>
    <row r="4" spans="1:4" x14ac:dyDescent="0.2">
      <c r="A4" s="3" t="s">
        <v>225</v>
      </c>
    </row>
    <row r="5" spans="1:4" x14ac:dyDescent="0.2">
      <c r="A5" s="26" t="s">
        <v>226</v>
      </c>
      <c r="B5" s="24">
        <f>入力用シート!D17</f>
        <v>2</v>
      </c>
      <c r="C5" s="3" t="s">
        <v>305</v>
      </c>
    </row>
    <row r="6" spans="1:4" x14ac:dyDescent="0.2">
      <c r="A6" s="20" t="s">
        <v>7</v>
      </c>
      <c r="B6" s="22" t="e">
        <f>解体等廃棄物発生量!D80</f>
        <v>#N/A</v>
      </c>
    </row>
    <row r="7" spans="1:4" x14ac:dyDescent="0.2">
      <c r="A7" s="20" t="s">
        <v>102</v>
      </c>
      <c r="B7" s="22" t="e">
        <f>解体等廃棄物発生量!D81</f>
        <v>#N/A</v>
      </c>
    </row>
    <row r="8" spans="1:4" x14ac:dyDescent="0.2">
      <c r="A8" s="20" t="s">
        <v>4</v>
      </c>
      <c r="B8" s="22" t="e">
        <f>解体等廃棄物発生量!D82</f>
        <v>#N/A</v>
      </c>
    </row>
    <row r="9" spans="1:4" x14ac:dyDescent="0.2">
      <c r="A9" s="20" t="s">
        <v>117</v>
      </c>
      <c r="B9" s="22" t="e">
        <f>解体等廃棄物発生量!D83</f>
        <v>#N/A</v>
      </c>
    </row>
    <row r="10" spans="1:4" x14ac:dyDescent="0.2">
      <c r="A10" s="20" t="s">
        <v>5</v>
      </c>
      <c r="B10" s="22" t="e">
        <f>解体等廃棄物発生量!D79</f>
        <v>#N/A</v>
      </c>
    </row>
    <row r="11" spans="1:4" x14ac:dyDescent="0.2">
      <c r="A11" s="20" t="s">
        <v>95</v>
      </c>
      <c r="B11" s="22" t="e">
        <f>解体等廃棄物発生量!D84</f>
        <v>#N/A</v>
      </c>
    </row>
    <row r="12" spans="1:4" x14ac:dyDescent="0.2">
      <c r="A12" s="21" t="str">
        <f>解体等廃棄物発生量!B85</f>
        <v>津波堆積物</v>
      </c>
      <c r="B12" s="22">
        <f>解体等廃棄物発生量!D85</f>
        <v>1243920</v>
      </c>
    </row>
    <row r="13" spans="1:4" x14ac:dyDescent="0.2">
      <c r="A13" s="20" t="s">
        <v>19</v>
      </c>
      <c r="B13" s="22" t="e">
        <f>SUM(B6:B12)</f>
        <v>#N/A</v>
      </c>
    </row>
    <row r="14" spans="1:4" x14ac:dyDescent="0.2">
      <c r="A14" s="20" t="s">
        <v>176</v>
      </c>
      <c r="B14" s="22" t="e">
        <f>B6*C14</f>
        <v>#N/A</v>
      </c>
      <c r="C14" s="15">
        <v>0.2</v>
      </c>
      <c r="D14" s="3" t="s">
        <v>535</v>
      </c>
    </row>
    <row r="15" spans="1:4" x14ac:dyDescent="0.2">
      <c r="D15" s="143"/>
    </row>
    <row r="16" spans="1:4" x14ac:dyDescent="0.2">
      <c r="A16" s="20" t="s">
        <v>320</v>
      </c>
      <c r="B16" s="20">
        <f>片付けごみ発生量!D28</f>
        <v>700</v>
      </c>
    </row>
    <row r="18" spans="1:5" x14ac:dyDescent="0.2">
      <c r="A18" s="27" t="s">
        <v>185</v>
      </c>
      <c r="B18" s="22">
        <f>'し尿、仮設トイレ、避難所ごみ'!B24</f>
        <v>3963.5168909192143</v>
      </c>
    </row>
    <row r="19" spans="1:5" x14ac:dyDescent="0.2">
      <c r="A19" s="20" t="s">
        <v>209</v>
      </c>
      <c r="B19" s="28">
        <f>'し尿、仮設トイレ、避難所ごみ'!B38</f>
        <v>1.147713</v>
      </c>
    </row>
    <row r="20" spans="1:5" x14ac:dyDescent="0.2">
      <c r="B20" s="13"/>
      <c r="C20" s="13"/>
    </row>
    <row r="21" spans="1:5" x14ac:dyDescent="0.2">
      <c r="A21" s="3" t="s">
        <v>177</v>
      </c>
      <c r="B21" s="13"/>
      <c r="C21" s="13"/>
    </row>
    <row r="22" spans="1:5" x14ac:dyDescent="0.2">
      <c r="A22" s="20"/>
      <c r="B22" s="269" t="s">
        <v>178</v>
      </c>
      <c r="C22" s="270"/>
      <c r="D22" s="268" t="s">
        <v>179</v>
      </c>
      <c r="E22" s="268"/>
    </row>
    <row r="23" spans="1:5" x14ac:dyDescent="0.2">
      <c r="A23" s="20"/>
      <c r="B23" s="24" t="s">
        <v>195</v>
      </c>
      <c r="C23" s="30" t="s">
        <v>194</v>
      </c>
      <c r="D23" s="24" t="s">
        <v>192</v>
      </c>
      <c r="E23" s="24" t="s">
        <v>194</v>
      </c>
    </row>
    <row r="24" spans="1:5" x14ac:dyDescent="0.2">
      <c r="A24" s="20" t="s">
        <v>188</v>
      </c>
      <c r="B24" s="22">
        <f>焼却施設!F25</f>
        <v>40200</v>
      </c>
      <c r="C24" s="22">
        <f>焼却施設!F30</f>
        <v>300</v>
      </c>
      <c r="D24" s="23">
        <f>最終処分場!G26</f>
        <v>14700</v>
      </c>
      <c r="E24" s="23">
        <f>最終処分場!G31</f>
        <v>100</v>
      </c>
    </row>
    <row r="25" spans="1:5" x14ac:dyDescent="0.2">
      <c r="A25" s="20" t="s">
        <v>189</v>
      </c>
      <c r="B25" s="22">
        <f>焼却施設!F26</f>
        <v>75000</v>
      </c>
      <c r="C25" s="22">
        <f>焼却施設!F31</f>
        <v>500</v>
      </c>
      <c r="D25" s="23">
        <f>最終処分場!G27</f>
        <v>33500</v>
      </c>
      <c r="E25" s="23">
        <f>最終処分場!G32</f>
        <v>300</v>
      </c>
    </row>
    <row r="26" spans="1:5" x14ac:dyDescent="0.2">
      <c r="A26" s="20" t="s">
        <v>191</v>
      </c>
      <c r="B26" s="271" t="str">
        <f>入力用シート!D28</f>
        <v>共同</v>
      </c>
      <c r="C26" s="271"/>
      <c r="D26" s="272" t="str">
        <f>入力用シート!D37</f>
        <v>共同</v>
      </c>
      <c r="E26" s="272"/>
    </row>
    <row r="27" spans="1:5" x14ac:dyDescent="0.2">
      <c r="A27" s="25" t="s">
        <v>196</v>
      </c>
      <c r="B27" s="18" t="s">
        <v>178</v>
      </c>
      <c r="C27" s="18" t="s">
        <v>179</v>
      </c>
      <c r="D27" s="19"/>
      <c r="E27" s="19"/>
    </row>
    <row r="28" spans="1:5" x14ac:dyDescent="0.2">
      <c r="A28" s="20" t="s">
        <v>188</v>
      </c>
      <c r="B28" s="29">
        <f>IF(B$26="単独",B24,C24)</f>
        <v>300</v>
      </c>
      <c r="C28" s="29">
        <f>IF(D$26="単独",D24,E24)</f>
        <v>100</v>
      </c>
      <c r="E28" s="18"/>
    </row>
    <row r="29" spans="1:5" x14ac:dyDescent="0.2">
      <c r="A29" s="20" t="s">
        <v>189</v>
      </c>
      <c r="B29" s="29">
        <f>IF(B$26="単独",B25,C25)</f>
        <v>500</v>
      </c>
      <c r="C29" s="29">
        <f>IF(D$26="単独",D25,E25)</f>
        <v>300</v>
      </c>
      <c r="E29" s="18"/>
    </row>
    <row r="30" spans="1:5" x14ac:dyDescent="0.2">
      <c r="B30" s="99"/>
      <c r="C30" s="99"/>
      <c r="E30" s="18"/>
    </row>
    <row r="31" spans="1:5" x14ac:dyDescent="0.2">
      <c r="A31" s="3" t="s">
        <v>135</v>
      </c>
      <c r="B31" s="18" t="s">
        <v>219</v>
      </c>
      <c r="C31" s="18" t="s">
        <v>194</v>
      </c>
      <c r="D31" s="16"/>
      <c r="E31" s="16"/>
    </row>
    <row r="32" spans="1:5" x14ac:dyDescent="0.2">
      <c r="A32" s="20" t="s">
        <v>306</v>
      </c>
      <c r="B32" s="20">
        <f>'し尿、仮設トイレ、避難所ごみ'!B32</f>
        <v>2496</v>
      </c>
      <c r="C32" s="22">
        <f>'し尿、仮設トイレ、避難所ごみ'!B33</f>
        <v>91.64967837704107</v>
      </c>
      <c r="D32" s="16"/>
      <c r="E32" s="16"/>
    </row>
    <row r="33" spans="1:6" x14ac:dyDescent="0.2">
      <c r="A33" s="20" t="s">
        <v>191</v>
      </c>
      <c r="B33" s="268" t="str">
        <f>入力用シート!D45</f>
        <v>共同</v>
      </c>
      <c r="C33" s="268"/>
      <c r="D33" s="16"/>
      <c r="E33" s="16"/>
    </row>
    <row r="34" spans="1:6" x14ac:dyDescent="0.2">
      <c r="A34" s="20" t="s">
        <v>196</v>
      </c>
      <c r="B34" s="271">
        <f>IF(B$33="単独",B32,C32)</f>
        <v>91.64967837704107</v>
      </c>
      <c r="C34" s="271"/>
    </row>
    <row r="35" spans="1:6" x14ac:dyDescent="0.2">
      <c r="C35" s="17"/>
    </row>
    <row r="36" spans="1:6" x14ac:dyDescent="0.2">
      <c r="A36" s="20" t="s">
        <v>168</v>
      </c>
      <c r="B36" s="20">
        <f>入力用シート!D51</f>
        <v>2.7</v>
      </c>
      <c r="C36" s="17"/>
    </row>
    <row r="37" spans="1:6" x14ac:dyDescent="0.2">
      <c r="C37" s="17"/>
    </row>
    <row r="38" spans="1:6" x14ac:dyDescent="0.2">
      <c r="A38" s="3" t="s">
        <v>181</v>
      </c>
    </row>
    <row r="39" spans="1:6" x14ac:dyDescent="0.2">
      <c r="C39" s="268" t="s">
        <v>184</v>
      </c>
      <c r="D39" s="268"/>
      <c r="E39" s="268" t="s">
        <v>208</v>
      </c>
      <c r="F39" s="268"/>
    </row>
    <row r="40" spans="1:6" x14ac:dyDescent="0.2">
      <c r="A40" s="20"/>
      <c r="B40" s="20" t="s">
        <v>183</v>
      </c>
      <c r="C40" s="20" t="s">
        <v>323</v>
      </c>
      <c r="D40" s="20" t="s">
        <v>207</v>
      </c>
      <c r="E40" s="20" t="s">
        <v>182</v>
      </c>
      <c r="F40" s="20" t="s">
        <v>207</v>
      </c>
    </row>
    <row r="41" spans="1:6" x14ac:dyDescent="0.2">
      <c r="A41" s="20" t="s">
        <v>197</v>
      </c>
      <c r="B41" s="23" t="e">
        <f>B6</f>
        <v>#N/A</v>
      </c>
      <c r="C41" s="308" t="e">
        <f>IF(B28="－",0,IF(B28&gt;B41,B41,B28))</f>
        <v>#N/A</v>
      </c>
      <c r="D41" s="308" t="e">
        <f>IF(B41&gt;C41,B41-C41,0)</f>
        <v>#N/A</v>
      </c>
      <c r="E41" s="308" t="e">
        <f>IF(B29="－",0,IF(B29&gt;B41,B41,B29))</f>
        <v>#N/A</v>
      </c>
      <c r="F41" s="308" t="e">
        <f>IF(B41&gt;E41,B41-E41,0)</f>
        <v>#N/A</v>
      </c>
    </row>
    <row r="42" spans="1:6" x14ac:dyDescent="0.2">
      <c r="A42" s="269" t="s">
        <v>324</v>
      </c>
      <c r="B42" s="270"/>
      <c r="C42" s="23" t="e">
        <f>C41*0.2</f>
        <v>#N/A</v>
      </c>
      <c r="D42" s="23" t="e">
        <f t="shared" ref="D42:F42" si="0">D41*0.2</f>
        <v>#N/A</v>
      </c>
      <c r="E42" s="23" t="e">
        <f t="shared" si="0"/>
        <v>#N/A</v>
      </c>
      <c r="F42" s="23" t="e">
        <f t="shared" si="0"/>
        <v>#N/A</v>
      </c>
    </row>
    <row r="43" spans="1:6" x14ac:dyDescent="0.2">
      <c r="A43" s="20" t="s">
        <v>198</v>
      </c>
      <c r="B43" s="23" t="e">
        <f>B7+B14</f>
        <v>#N/A</v>
      </c>
      <c r="C43" s="23" t="e">
        <f>IF(C28&gt;B43,B43,C28)</f>
        <v>#N/A</v>
      </c>
      <c r="D43" s="23" t="e">
        <f>IF(B43&gt;C43,B43-C43,0)</f>
        <v>#N/A</v>
      </c>
      <c r="E43" s="23" t="e">
        <f>IF(C29&gt;B43,B43,C29)</f>
        <v>#N/A</v>
      </c>
      <c r="F43" s="23" t="e">
        <f>IF(B43&gt;E43,B43-E43,0)</f>
        <v>#N/A</v>
      </c>
    </row>
    <row r="44" spans="1:6" x14ac:dyDescent="0.2">
      <c r="B44" s="16"/>
      <c r="C44" s="16"/>
      <c r="D44" s="16"/>
      <c r="E44" s="16"/>
      <c r="F44" s="16"/>
    </row>
    <row r="45" spans="1:6" x14ac:dyDescent="0.2">
      <c r="B45" s="16" t="s">
        <v>307</v>
      </c>
      <c r="C45" s="16"/>
      <c r="D45" s="16"/>
      <c r="E45" s="16"/>
      <c r="F45" s="16"/>
    </row>
    <row r="46" spans="1:6" x14ac:dyDescent="0.2">
      <c r="B46" s="16"/>
      <c r="C46" s="16"/>
      <c r="D46" s="16"/>
      <c r="E46" s="16"/>
      <c r="F46" s="16"/>
    </row>
    <row r="47" spans="1:6" x14ac:dyDescent="0.2">
      <c r="B47" s="16" t="s">
        <v>183</v>
      </c>
      <c r="C47" s="16" t="s">
        <v>309</v>
      </c>
      <c r="D47" s="16"/>
      <c r="E47" s="16"/>
      <c r="F47" s="16"/>
    </row>
    <row r="48" spans="1:6" x14ac:dyDescent="0.2">
      <c r="A48" s="20" t="s">
        <v>308</v>
      </c>
      <c r="B48" s="23">
        <f>B18*365*B36/1000</f>
        <v>3906.0458960008859</v>
      </c>
      <c r="C48" s="23">
        <f>IF(B34*B36&gt;B48,B48,B34*B36)</f>
        <v>247.4541316180109</v>
      </c>
      <c r="D48" s="23">
        <f>IF(B48&gt;C48,B48-C48,0)</f>
        <v>3658.5917643828752</v>
      </c>
    </row>
    <row r="49" spans="1:2" x14ac:dyDescent="0.2">
      <c r="A49" s="20" t="s">
        <v>223</v>
      </c>
      <c r="B49" s="23">
        <f>B19*365*B36</f>
        <v>1131.0711615</v>
      </c>
    </row>
    <row r="50" spans="1:2" x14ac:dyDescent="0.2">
      <c r="B50" s="16"/>
    </row>
  </sheetData>
  <mergeCells count="9">
    <mergeCell ref="C39:D39"/>
    <mergeCell ref="E39:F39"/>
    <mergeCell ref="A42:B42"/>
    <mergeCell ref="B22:C22"/>
    <mergeCell ref="D22:E22"/>
    <mergeCell ref="B33:C33"/>
    <mergeCell ref="B34:C34"/>
    <mergeCell ref="B26:C26"/>
    <mergeCell ref="D26:E26"/>
  </mergeCells>
  <phoneticPr fontId="2"/>
  <pageMargins left="0.78740157480314965" right="0.70866141732283472" top="0.59055118110236227" bottom="0.39370078740157483" header="0.15748031496062992" footer="0.1574803149606299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EC10E-50D8-493F-82B6-5CA1C755A9AB}">
  <sheetPr>
    <tabColor rgb="FF92D050"/>
  </sheetPr>
  <dimension ref="A1:J53"/>
  <sheetViews>
    <sheetView topLeftCell="A12" zoomScaleNormal="100" workbookViewId="0"/>
  </sheetViews>
  <sheetFormatPr defaultColWidth="8.88671875" defaultRowHeight="12.6" x14ac:dyDescent="0.2"/>
  <cols>
    <col min="1" max="1" width="3.21875" style="157" customWidth="1"/>
    <col min="2" max="2" width="15.88671875" style="161" customWidth="1"/>
    <col min="3" max="3" width="5.33203125" style="157" customWidth="1"/>
    <col min="4" max="4" width="5.77734375" style="157" customWidth="1"/>
    <col min="5" max="5" width="10.77734375" style="161" customWidth="1"/>
    <col min="6" max="6" width="5.33203125" style="161" customWidth="1"/>
    <col min="7" max="7" width="15.88671875" style="161" customWidth="1"/>
    <col min="8" max="8" width="5.33203125" style="157" customWidth="1"/>
    <col min="9" max="9" width="15.88671875" style="161" customWidth="1"/>
    <col min="10" max="10" width="1.77734375" style="157" customWidth="1"/>
    <col min="11" max="16384" width="8.88671875" style="157"/>
  </cols>
  <sheetData>
    <row r="1" spans="1:10" x14ac:dyDescent="0.2">
      <c r="A1" s="153"/>
      <c r="B1" s="154" t="str">
        <f>入力用シート!D7</f>
        <v>U町</v>
      </c>
      <c r="C1" s="153"/>
      <c r="D1" s="153"/>
      <c r="E1" s="155"/>
      <c r="F1" s="155"/>
      <c r="G1" s="155"/>
      <c r="H1" s="153"/>
      <c r="I1" s="176" t="s">
        <v>212</v>
      </c>
    </row>
    <row r="2" spans="1:10" x14ac:dyDescent="0.2">
      <c r="A2" s="153"/>
      <c r="B2" s="158" t="str">
        <f>CONCATENATE("(",入力用シート!D8,")")</f>
        <v>(Ｔ平野断層帯地震)</v>
      </c>
      <c r="C2" s="153"/>
      <c r="D2" s="153"/>
      <c r="E2" s="155"/>
      <c r="F2" s="155"/>
      <c r="G2" s="155"/>
      <c r="H2" s="153"/>
      <c r="I2" s="155"/>
    </row>
    <row r="3" spans="1:10" x14ac:dyDescent="0.2">
      <c r="A3" s="153"/>
      <c r="B3" s="153" t="s">
        <v>214</v>
      </c>
      <c r="C3" s="155" t="str">
        <f>CONCATENATE('処理フロー(計算)'!B36,"年")</f>
        <v>2.7年</v>
      </c>
      <c r="D3" s="155"/>
      <c r="E3" s="155"/>
      <c r="F3" s="155"/>
      <c r="G3" s="155"/>
      <c r="H3" s="153"/>
      <c r="I3" s="155"/>
      <c r="J3" s="153"/>
    </row>
    <row r="4" spans="1:10" x14ac:dyDescent="0.2">
      <c r="A4" s="153"/>
      <c r="B4" s="153"/>
      <c r="C4" s="153"/>
      <c r="D4" s="153"/>
      <c r="E4" s="155"/>
      <c r="F4" s="155"/>
      <c r="G4" s="155"/>
      <c r="H4" s="153"/>
      <c r="I4" s="155"/>
      <c r="J4" s="153"/>
    </row>
    <row r="5" spans="1:10" x14ac:dyDescent="0.2">
      <c r="A5" s="153"/>
      <c r="B5" s="162"/>
      <c r="C5" s="163"/>
      <c r="D5" s="163"/>
      <c r="E5" s="162"/>
      <c r="F5" s="162"/>
      <c r="G5" s="162"/>
      <c r="H5" s="163"/>
      <c r="I5" s="155"/>
      <c r="J5" s="163"/>
    </row>
    <row r="6" spans="1:10" x14ac:dyDescent="0.2">
      <c r="A6" s="153"/>
      <c r="B6" s="162"/>
      <c r="C6" s="163"/>
      <c r="D6" s="163"/>
      <c r="E6" s="162"/>
      <c r="F6" s="162"/>
      <c r="G6" s="162"/>
      <c r="H6" s="163"/>
      <c r="I6" s="162"/>
      <c r="J6" s="163"/>
    </row>
    <row r="7" spans="1:10" ht="13.2" customHeight="1" x14ac:dyDescent="0.15">
      <c r="A7" s="153"/>
      <c r="B7" s="164" t="s">
        <v>325</v>
      </c>
      <c r="C7" s="163"/>
      <c r="D7" s="311"/>
      <c r="E7" s="311"/>
      <c r="F7" s="162"/>
      <c r="G7" s="162"/>
      <c r="H7" s="163"/>
      <c r="I7" s="162"/>
      <c r="J7" s="163"/>
    </row>
    <row r="8" spans="1:10" x14ac:dyDescent="0.2">
      <c r="A8" s="153"/>
      <c r="B8" s="155" t="e">
        <f>CONCATENATE(ROUNDDOWN(仮置場!G28,1),"ha")</f>
        <v>#N/A</v>
      </c>
      <c r="C8" s="163"/>
      <c r="D8" s="275" t="str">
        <f>入力用シート!D27</f>
        <v>Cセンター</v>
      </c>
      <c r="E8" s="275"/>
      <c r="F8" s="162"/>
      <c r="G8" s="162"/>
      <c r="H8" s="163"/>
      <c r="I8" s="162"/>
      <c r="J8" s="163"/>
    </row>
    <row r="9" spans="1:10" ht="13.2" customHeight="1" x14ac:dyDescent="0.2">
      <c r="A9" s="153"/>
      <c r="B9" s="162"/>
      <c r="C9" s="163"/>
      <c r="D9" s="276" t="s">
        <v>142</v>
      </c>
      <c r="E9" s="276"/>
      <c r="F9" s="162"/>
      <c r="G9" s="155"/>
      <c r="H9" s="163"/>
      <c r="I9" s="162"/>
      <c r="J9" s="163"/>
    </row>
    <row r="10" spans="1:10" x14ac:dyDescent="0.2">
      <c r="A10" s="153"/>
      <c r="B10" s="166" t="s">
        <v>136</v>
      </c>
      <c r="C10" s="163"/>
      <c r="D10" s="173" t="s">
        <v>536</v>
      </c>
      <c r="E10" s="174">
        <f>'処理フロー(計算)'!B28</f>
        <v>300</v>
      </c>
      <c r="F10" s="162"/>
      <c r="G10" s="166" t="s">
        <v>142</v>
      </c>
      <c r="H10" s="163"/>
      <c r="I10" s="162"/>
      <c r="J10" s="163"/>
    </row>
    <row r="11" spans="1:10" x14ac:dyDescent="0.2">
      <c r="A11" s="153"/>
      <c r="B11" s="168" t="e">
        <f>'処理フロー(計算)'!B6</f>
        <v>#N/A</v>
      </c>
      <c r="C11" s="163"/>
      <c r="D11" s="173" t="s">
        <v>537</v>
      </c>
      <c r="E11" s="174" t="e">
        <f>'処理フロー(計算)'!C41</f>
        <v>#N/A</v>
      </c>
      <c r="F11" s="162"/>
      <c r="G11" s="168" t="e">
        <f>'処理フロー(計算)'!D41</f>
        <v>#N/A</v>
      </c>
      <c r="H11" s="163"/>
      <c r="I11" s="162"/>
      <c r="J11" s="163"/>
    </row>
    <row r="12" spans="1:10" x14ac:dyDescent="0.2">
      <c r="A12" s="153"/>
      <c r="B12" s="162"/>
      <c r="C12" s="163"/>
      <c r="D12" s="277" t="s">
        <v>534</v>
      </c>
      <c r="E12" s="277"/>
      <c r="F12" s="162"/>
      <c r="G12" s="274" t="s">
        <v>534</v>
      </c>
      <c r="H12" s="274"/>
      <c r="I12" s="162"/>
      <c r="J12" s="163"/>
    </row>
    <row r="13" spans="1:10" ht="13.2" customHeight="1" x14ac:dyDescent="0.2">
      <c r="A13" s="153"/>
      <c r="B13" s="170"/>
      <c r="C13" s="163"/>
      <c r="D13" s="273" t="str">
        <f>CONCATENATE("　　",入力用シート!D36)</f>
        <v>　　Ｕセンター</v>
      </c>
      <c r="E13" s="273"/>
      <c r="F13" s="162"/>
      <c r="G13" s="169"/>
      <c r="H13" s="163"/>
      <c r="I13" s="162"/>
      <c r="J13" s="163"/>
    </row>
    <row r="14" spans="1:10" ht="13.2" customHeight="1" x14ac:dyDescent="0.2">
      <c r="A14" s="153"/>
      <c r="B14" s="162"/>
      <c r="C14" s="163"/>
      <c r="D14" s="276" t="s">
        <v>149</v>
      </c>
      <c r="E14" s="276"/>
      <c r="F14" s="162"/>
      <c r="G14" s="155"/>
      <c r="H14" s="163"/>
      <c r="I14" s="162"/>
      <c r="J14" s="163"/>
    </row>
    <row r="15" spans="1:10" x14ac:dyDescent="0.2">
      <c r="A15" s="153"/>
      <c r="B15" s="166" t="s">
        <v>137</v>
      </c>
      <c r="C15" s="163"/>
      <c r="D15" s="173" t="s">
        <v>536</v>
      </c>
      <c r="E15" s="174">
        <f>'処理フロー(計算)'!C28</f>
        <v>100</v>
      </c>
      <c r="F15" s="162"/>
      <c r="G15" s="166" t="s">
        <v>149</v>
      </c>
      <c r="H15" s="163"/>
      <c r="I15" s="162"/>
      <c r="J15" s="163"/>
    </row>
    <row r="16" spans="1:10" x14ac:dyDescent="0.2">
      <c r="A16" s="153"/>
      <c r="B16" s="168" t="e">
        <f>'処理フロー(計算)'!B7</f>
        <v>#N/A</v>
      </c>
      <c r="C16" s="163"/>
      <c r="D16" s="173" t="s">
        <v>537</v>
      </c>
      <c r="E16" s="174" t="e">
        <f>'処理フロー(計算)'!C43</f>
        <v>#N/A</v>
      </c>
      <c r="F16" s="162"/>
      <c r="G16" s="171" t="e">
        <f>'処理フロー(計算)'!D43</f>
        <v>#N/A</v>
      </c>
      <c r="H16" s="163"/>
      <c r="I16" s="162"/>
      <c r="J16" s="163"/>
    </row>
    <row r="17" spans="1:10" x14ac:dyDescent="0.2">
      <c r="A17" s="153"/>
      <c r="B17" s="162"/>
      <c r="C17" s="163"/>
      <c r="D17" s="163"/>
      <c r="E17" s="162"/>
      <c r="F17" s="162"/>
      <c r="G17" s="162"/>
      <c r="H17" s="163"/>
      <c r="I17" s="162"/>
      <c r="J17" s="163"/>
    </row>
    <row r="18" spans="1:10" x14ac:dyDescent="0.2">
      <c r="A18" s="153"/>
      <c r="B18" s="166" t="s">
        <v>138</v>
      </c>
      <c r="C18" s="163"/>
      <c r="D18" s="163"/>
      <c r="E18" s="153"/>
      <c r="F18" s="162"/>
      <c r="G18" s="166" t="s">
        <v>143</v>
      </c>
      <c r="H18" s="163"/>
      <c r="I18" s="166" t="s">
        <v>148</v>
      </c>
      <c r="J18" s="163"/>
    </row>
    <row r="19" spans="1:10" x14ac:dyDescent="0.2">
      <c r="A19" s="153"/>
      <c r="B19" s="168" t="e">
        <f>'処理フロー(計算)'!B10</f>
        <v>#N/A</v>
      </c>
      <c r="C19" s="163"/>
      <c r="D19" s="163"/>
      <c r="E19" s="155"/>
      <c r="F19" s="162"/>
      <c r="G19" s="167" t="e">
        <f>B19</f>
        <v>#N/A</v>
      </c>
      <c r="H19" s="163"/>
      <c r="I19" s="167" t="e">
        <f>G19</f>
        <v>#N/A</v>
      </c>
      <c r="J19" s="163"/>
    </row>
    <row r="20" spans="1:10" x14ac:dyDescent="0.2">
      <c r="A20" s="153"/>
      <c r="B20" s="162"/>
      <c r="C20" s="163"/>
      <c r="D20" s="163"/>
      <c r="E20" s="155"/>
      <c r="F20" s="162"/>
      <c r="G20" s="309"/>
      <c r="H20" s="163"/>
      <c r="I20" s="162"/>
      <c r="J20" s="163"/>
    </row>
    <row r="21" spans="1:10" x14ac:dyDescent="0.2">
      <c r="A21" s="153"/>
      <c r="B21" s="166" t="s">
        <v>139</v>
      </c>
      <c r="C21" s="163"/>
      <c r="D21" s="163"/>
      <c r="E21" s="153"/>
      <c r="F21" s="162"/>
      <c r="G21" s="166" t="s">
        <v>143</v>
      </c>
      <c r="H21" s="163"/>
      <c r="I21" s="166" t="s">
        <v>148</v>
      </c>
      <c r="J21" s="163"/>
    </row>
    <row r="22" spans="1:10" x14ac:dyDescent="0.2">
      <c r="A22" s="153"/>
      <c r="B22" s="168" t="e">
        <f>'処理フロー(計算)'!B8</f>
        <v>#N/A</v>
      </c>
      <c r="C22" s="163"/>
      <c r="D22" s="163"/>
      <c r="E22" s="155"/>
      <c r="F22" s="162"/>
      <c r="G22" s="167" t="e">
        <f>B22</f>
        <v>#N/A</v>
      </c>
      <c r="H22" s="163"/>
      <c r="I22" s="167" t="e">
        <f>G22</f>
        <v>#N/A</v>
      </c>
      <c r="J22" s="163"/>
    </row>
    <row r="23" spans="1:10" x14ac:dyDescent="0.2">
      <c r="A23" s="153"/>
      <c r="B23" s="162"/>
      <c r="C23" s="163"/>
      <c r="D23" s="163"/>
      <c r="E23" s="155"/>
      <c r="F23" s="162"/>
      <c r="G23" s="309"/>
      <c r="H23" s="163"/>
      <c r="I23" s="162"/>
      <c r="J23" s="163"/>
    </row>
    <row r="24" spans="1:10" x14ac:dyDescent="0.2">
      <c r="A24" s="153"/>
      <c r="B24" s="166" t="s">
        <v>140</v>
      </c>
      <c r="C24" s="163"/>
      <c r="D24" s="163"/>
      <c r="E24" s="162"/>
      <c r="F24" s="162"/>
      <c r="G24" s="162"/>
      <c r="H24" s="163"/>
      <c r="I24" s="166" t="s">
        <v>145</v>
      </c>
      <c r="J24" s="163"/>
    </row>
    <row r="25" spans="1:10" x14ac:dyDescent="0.2">
      <c r="A25" s="153"/>
      <c r="B25" s="167" t="e">
        <f>'処理フロー(計算)'!B9</f>
        <v>#N/A</v>
      </c>
      <c r="C25" s="163"/>
      <c r="D25" s="163"/>
      <c r="E25" s="162"/>
      <c r="F25" s="162"/>
      <c r="G25" s="162"/>
      <c r="H25" s="163"/>
      <c r="I25" s="167" t="e">
        <f>B25</f>
        <v>#N/A</v>
      </c>
      <c r="J25" s="163"/>
    </row>
    <row r="26" spans="1:10" x14ac:dyDescent="0.2">
      <c r="A26" s="153"/>
      <c r="B26" s="162"/>
      <c r="C26" s="163"/>
      <c r="D26" s="163"/>
      <c r="E26" s="162"/>
      <c r="F26" s="162"/>
      <c r="G26" s="162"/>
      <c r="H26" s="163"/>
      <c r="I26" s="162"/>
      <c r="J26" s="163"/>
    </row>
    <row r="27" spans="1:10" x14ac:dyDescent="0.2">
      <c r="A27" s="153"/>
      <c r="B27" s="166" t="s">
        <v>141</v>
      </c>
      <c r="C27" s="163"/>
      <c r="D27" s="163"/>
      <c r="E27" s="162"/>
      <c r="F27" s="162"/>
      <c r="G27" s="162"/>
      <c r="H27" s="163"/>
      <c r="I27" s="166" t="s">
        <v>146</v>
      </c>
      <c r="J27" s="163"/>
    </row>
    <row r="28" spans="1:10" x14ac:dyDescent="0.2">
      <c r="A28" s="153"/>
      <c r="B28" s="167" t="e">
        <f>'処理フロー(計算)'!B11</f>
        <v>#N/A</v>
      </c>
      <c r="C28" s="163"/>
      <c r="D28" s="163"/>
      <c r="E28" s="162"/>
      <c r="F28" s="162"/>
      <c r="G28" s="162"/>
      <c r="H28" s="163"/>
      <c r="I28" s="167" t="e">
        <f>B28</f>
        <v>#N/A</v>
      </c>
      <c r="J28" s="163"/>
    </row>
    <row r="29" spans="1:10" x14ac:dyDescent="0.2">
      <c r="A29" s="153"/>
      <c r="B29" s="162"/>
      <c r="C29" s="163"/>
      <c r="D29" s="163"/>
      <c r="E29" s="162"/>
      <c r="F29" s="162"/>
      <c r="G29" s="155"/>
      <c r="H29" s="163"/>
      <c r="I29" s="162"/>
      <c r="J29" s="163"/>
    </row>
    <row r="30" spans="1:10" x14ac:dyDescent="0.2">
      <c r="A30" s="153"/>
      <c r="B30" s="166" t="str">
        <f>CONCATENATE('処理フロー(計算)'!A12,"(t)")</f>
        <v>津波堆積物(t)</v>
      </c>
      <c r="C30" s="163"/>
      <c r="D30" s="163"/>
      <c r="E30" s="162"/>
      <c r="F30" s="162"/>
      <c r="G30" s="166" t="s">
        <v>144</v>
      </c>
      <c r="H30" s="163"/>
      <c r="I30" s="166" t="s">
        <v>147</v>
      </c>
      <c r="J30" s="163"/>
    </row>
    <row r="31" spans="1:10" x14ac:dyDescent="0.2">
      <c r="A31" s="153"/>
      <c r="B31" s="167">
        <f>'処理フロー(計算)'!B12</f>
        <v>1243920</v>
      </c>
      <c r="C31" s="163"/>
      <c r="D31" s="163"/>
      <c r="E31" s="162"/>
      <c r="F31" s="162"/>
      <c r="G31" s="167">
        <f>B31</f>
        <v>1243920</v>
      </c>
      <c r="H31" s="163"/>
      <c r="I31" s="167">
        <f>G31</f>
        <v>1243920</v>
      </c>
      <c r="J31" s="163"/>
    </row>
    <row r="32" spans="1:10" x14ac:dyDescent="0.2">
      <c r="A32" s="153"/>
      <c r="B32" s="162"/>
      <c r="C32" s="163"/>
      <c r="D32" s="163"/>
      <c r="E32" s="162"/>
      <c r="F32" s="162"/>
      <c r="G32" s="309"/>
      <c r="H32" s="163"/>
      <c r="I32" s="162"/>
      <c r="J32" s="163"/>
    </row>
    <row r="33" spans="1:10" x14ac:dyDescent="0.2">
      <c r="A33" s="153"/>
      <c r="B33" s="162"/>
      <c r="C33" s="163"/>
      <c r="D33" s="163"/>
      <c r="E33" s="162"/>
      <c r="F33" s="162"/>
      <c r="G33" s="162"/>
      <c r="H33" s="163"/>
      <c r="I33" s="162"/>
      <c r="J33" s="163"/>
    </row>
    <row r="34" spans="1:10" x14ac:dyDescent="0.2">
      <c r="A34" s="153"/>
      <c r="B34" s="162"/>
      <c r="C34" s="163"/>
      <c r="D34" s="163"/>
      <c r="E34" s="162"/>
      <c r="F34" s="162"/>
      <c r="G34" s="162"/>
      <c r="H34" s="163"/>
      <c r="I34" s="162"/>
      <c r="J34" s="163"/>
    </row>
    <row r="35" spans="1:10" ht="4.5" customHeight="1" x14ac:dyDescent="0.2">
      <c r="A35" s="153"/>
      <c r="B35" s="162"/>
      <c r="C35" s="163"/>
      <c r="D35" s="163"/>
      <c r="E35" s="162"/>
      <c r="F35" s="162"/>
      <c r="G35" s="162"/>
      <c r="H35" s="163"/>
      <c r="I35" s="162"/>
      <c r="J35" s="163"/>
    </row>
    <row r="36" spans="1:10" ht="13.2" customHeight="1" x14ac:dyDescent="0.2">
      <c r="A36" s="153"/>
      <c r="B36" s="162"/>
      <c r="C36" s="163"/>
      <c r="D36" s="275" t="str">
        <f>入力用シート!D44</f>
        <v>Ｔ下水道浄化センター浄化槽汚泥等受入施設</v>
      </c>
      <c r="E36" s="275"/>
      <c r="F36" s="162"/>
      <c r="G36" s="162"/>
      <c r="H36" s="163"/>
      <c r="I36" s="162"/>
      <c r="J36" s="163"/>
    </row>
    <row r="37" spans="1:10" ht="13.2" customHeight="1" x14ac:dyDescent="0.2">
      <c r="A37" s="153"/>
      <c r="B37" s="162"/>
      <c r="C37" s="163"/>
      <c r="D37" s="278" t="s">
        <v>311</v>
      </c>
      <c r="E37" s="278"/>
      <c r="F37" s="162"/>
      <c r="G37" s="155"/>
      <c r="H37" s="163"/>
      <c r="I37" s="162"/>
      <c r="J37" s="163"/>
    </row>
    <row r="38" spans="1:10" x14ac:dyDescent="0.2">
      <c r="A38" s="153"/>
      <c r="B38" s="166" t="s">
        <v>310</v>
      </c>
      <c r="C38" s="163"/>
      <c r="D38" s="173" t="s">
        <v>536</v>
      </c>
      <c r="E38" s="174">
        <f>'処理フロー(計算)'!C48</f>
        <v>247.4541316180109</v>
      </c>
      <c r="F38" s="162"/>
      <c r="G38" s="166" t="s">
        <v>135</v>
      </c>
      <c r="H38" s="163"/>
      <c r="I38" s="162"/>
      <c r="J38" s="163"/>
    </row>
    <row r="39" spans="1:10" x14ac:dyDescent="0.2">
      <c r="A39" s="153"/>
      <c r="B39" s="168">
        <f>'処理フロー(計算)'!B48</f>
        <v>3906.0458960008859</v>
      </c>
      <c r="C39" s="163"/>
      <c r="D39" s="173" t="s">
        <v>537</v>
      </c>
      <c r="E39" s="175">
        <f>'処理フロー(計算)'!B48</f>
        <v>3906.0458960008859</v>
      </c>
      <c r="F39" s="162"/>
      <c r="G39" s="171">
        <f>'処理フロー(計算)'!D48</f>
        <v>3658.5917643828752</v>
      </c>
      <c r="H39" s="163"/>
      <c r="I39" s="162"/>
      <c r="J39" s="163"/>
    </row>
    <row r="40" spans="1:10" x14ac:dyDescent="0.2">
      <c r="A40" s="153"/>
      <c r="B40" s="162"/>
      <c r="C40" s="163"/>
      <c r="D40" s="163"/>
      <c r="E40" s="162"/>
      <c r="F40" s="162"/>
      <c r="G40" s="162"/>
      <c r="H40" s="163"/>
      <c r="I40" s="162"/>
      <c r="J40" s="163"/>
    </row>
    <row r="41" spans="1:10" ht="13.2" customHeight="1" x14ac:dyDescent="0.2">
      <c r="A41" s="153"/>
      <c r="B41" s="166" t="s">
        <v>210</v>
      </c>
      <c r="C41" s="163"/>
      <c r="D41" s="310" t="s">
        <v>142</v>
      </c>
      <c r="E41" s="310"/>
      <c r="F41" s="162"/>
      <c r="G41" s="162"/>
      <c r="H41" s="163"/>
      <c r="I41" s="162"/>
      <c r="J41" s="163"/>
    </row>
    <row r="42" spans="1:10" ht="13.2" customHeight="1" x14ac:dyDescent="0.2">
      <c r="A42" s="153"/>
      <c r="B42" s="171">
        <f>'処理フロー(計算)'!B49</f>
        <v>1131.0711615</v>
      </c>
      <c r="C42" s="163"/>
      <c r="D42" s="279">
        <f>B42</f>
        <v>1131.0711615</v>
      </c>
      <c r="E42" s="279"/>
      <c r="F42" s="162"/>
      <c r="G42" s="162"/>
      <c r="H42" s="163"/>
      <c r="I42" s="162"/>
      <c r="J42" s="163"/>
    </row>
    <row r="43" spans="1:10" x14ac:dyDescent="0.2">
      <c r="A43" s="153"/>
      <c r="B43" s="162"/>
      <c r="C43" s="163"/>
      <c r="D43" s="163"/>
      <c r="E43" s="162"/>
      <c r="F43" s="162"/>
      <c r="G43" s="162"/>
      <c r="H43" s="163"/>
      <c r="I43" s="162"/>
      <c r="J43" s="163"/>
    </row>
    <row r="44" spans="1:10" ht="13.5" customHeight="1" x14ac:dyDescent="0.2">
      <c r="A44" s="153"/>
      <c r="B44" s="162"/>
      <c r="C44" s="163"/>
      <c r="D44" s="163"/>
      <c r="E44" s="162"/>
      <c r="F44" s="162"/>
      <c r="G44" s="162"/>
      <c r="H44" s="163"/>
      <c r="I44" s="162"/>
      <c r="J44" s="163"/>
    </row>
    <row r="45" spans="1:10" x14ac:dyDescent="0.2">
      <c r="A45" s="153"/>
      <c r="B45" s="165" t="s">
        <v>542</v>
      </c>
      <c r="C45" s="163"/>
      <c r="D45" s="163"/>
      <c r="E45" s="162"/>
      <c r="F45" s="162"/>
      <c r="G45" s="162"/>
      <c r="H45" s="163"/>
      <c r="I45" s="162"/>
      <c r="J45" s="163"/>
    </row>
    <row r="46" spans="1:10" x14ac:dyDescent="0.2">
      <c r="A46" s="153"/>
      <c r="B46" s="178" t="s">
        <v>541</v>
      </c>
      <c r="C46" s="163"/>
      <c r="D46" s="163"/>
      <c r="E46" s="162"/>
      <c r="F46" s="162"/>
      <c r="G46" s="162"/>
      <c r="H46" s="163"/>
      <c r="I46" s="162"/>
      <c r="J46" s="163"/>
    </row>
    <row r="47" spans="1:10" x14ac:dyDescent="0.2">
      <c r="A47" s="153"/>
      <c r="B47" s="165" t="s">
        <v>213</v>
      </c>
      <c r="C47" s="163"/>
      <c r="D47" s="163"/>
      <c r="E47" s="162"/>
      <c r="F47" s="162"/>
      <c r="G47" s="162"/>
      <c r="H47" s="163"/>
      <c r="I47" s="162"/>
      <c r="J47" s="163"/>
    </row>
    <row r="48" spans="1:10" x14ac:dyDescent="0.2">
      <c r="A48" s="153"/>
      <c r="B48" s="165" t="s">
        <v>174</v>
      </c>
      <c r="C48" s="163"/>
      <c r="D48" s="163"/>
      <c r="E48" s="162"/>
      <c r="F48" s="162"/>
      <c r="G48" s="162"/>
      <c r="H48" s="163"/>
      <c r="I48" s="162"/>
      <c r="J48" s="163"/>
    </row>
    <row r="49" spans="1:10" x14ac:dyDescent="0.2">
      <c r="A49" s="153"/>
      <c r="B49" s="165" t="s">
        <v>543</v>
      </c>
      <c r="C49" s="153"/>
      <c r="D49" s="153"/>
      <c r="E49" s="155"/>
      <c r="F49" s="155"/>
      <c r="G49" s="155"/>
      <c r="H49" s="153"/>
      <c r="I49" s="155"/>
      <c r="J49" s="153"/>
    </row>
    <row r="50" spans="1:10" x14ac:dyDescent="0.2">
      <c r="A50" s="153"/>
      <c r="B50" s="165" t="s">
        <v>180</v>
      </c>
      <c r="C50" s="153"/>
      <c r="D50" s="153"/>
      <c r="E50" s="155"/>
      <c r="F50" s="155"/>
      <c r="G50" s="155"/>
      <c r="H50" s="153"/>
      <c r="I50" s="155"/>
      <c r="J50" s="153"/>
    </row>
    <row r="51" spans="1:10" x14ac:dyDescent="0.2">
      <c r="A51" s="153"/>
      <c r="B51" s="165"/>
      <c r="C51" s="153"/>
      <c r="D51" s="153"/>
      <c r="E51" s="155"/>
      <c r="F51" s="155"/>
      <c r="G51" s="155"/>
      <c r="H51" s="153"/>
      <c r="I51" s="155"/>
      <c r="J51" s="153"/>
    </row>
    <row r="52" spans="1:10" x14ac:dyDescent="0.2">
      <c r="A52" s="153"/>
      <c r="B52" s="154"/>
      <c r="C52" s="153"/>
      <c r="D52" s="153"/>
      <c r="E52" s="155"/>
      <c r="F52" s="155"/>
      <c r="G52" s="155"/>
      <c r="H52" s="153"/>
      <c r="I52" s="155"/>
      <c r="J52" s="153"/>
    </row>
    <row r="53" spans="1:10" x14ac:dyDescent="0.2">
      <c r="B53" s="159"/>
    </row>
  </sheetData>
  <mergeCells count="11">
    <mergeCell ref="D7:E7"/>
    <mergeCell ref="D14:E14"/>
    <mergeCell ref="D36:E36"/>
    <mergeCell ref="D37:E37"/>
    <mergeCell ref="D41:E41"/>
    <mergeCell ref="D42:E42"/>
    <mergeCell ref="D13:E13"/>
    <mergeCell ref="G12:H12"/>
    <mergeCell ref="D8:E8"/>
    <mergeCell ref="D9:E9"/>
    <mergeCell ref="D12:E12"/>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入力用シート</vt:lpstr>
      <vt:lpstr>し尿、仮設トイレ、避難所ごみ</vt:lpstr>
      <vt:lpstr>片付けごみ発生量</vt:lpstr>
      <vt:lpstr>解体等廃棄物発生量</vt:lpstr>
      <vt:lpstr>仮置場</vt:lpstr>
      <vt:lpstr>焼却施設</vt:lpstr>
      <vt:lpstr>最終処分場</vt:lpstr>
      <vt:lpstr>処理フロー(計算)</vt:lpstr>
      <vt:lpstr>高位シナリオ</vt:lpstr>
      <vt:lpstr>最大能力</vt:lpstr>
      <vt:lpstr>固定資産データ</vt:lpstr>
      <vt:lpstr>'し尿、仮設トイレ、避難所ごみ'!Print_Area</vt:lpstr>
      <vt:lpstr>入力用シート!Print_Area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